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epartments\technicalSupport\Analysis Tools\ELISA\Current Versions\"/>
    </mc:Choice>
  </mc:AlternateContent>
  <xr:revisionPtr revIDLastSave="0" documentId="13_ncr:1_{E6E76F79-9F22-40A8-B836-540C3EC3C6F7}" xr6:coauthVersionLast="47" xr6:coauthVersionMax="47" xr10:uidLastSave="{00000000-0000-0000-0000-000000000000}"/>
  <bookViews>
    <workbookView xWindow="28680" yWindow="-120" windowWidth="29040" windowHeight="15720" xr2:uid="{11592FC6-DE3D-4897-98FD-B9192FBBE2D4}"/>
  </bookViews>
  <sheets>
    <sheet name="The Workbooks" sheetId="19" r:id="rId1"/>
    <sheet name="TheSheets" sheetId="16" r:id="rId2"/>
    <sheet name="Instructions" sheetId="20" r:id="rId3"/>
    <sheet name="Disclaimer" sheetId="21" r:id="rId4"/>
    <sheet name="Analysis" sheetId="2" r:id="rId5"/>
    <sheet name="StdCurve" sheetId="4" r:id="rId6"/>
  </sheets>
  <definedNames>
    <definedName name="OLE_LINK1" localSheetId="1">TheSheets!$A$41</definedName>
    <definedName name="solver_cvg" localSheetId="4" hidden="1">0.0001</definedName>
    <definedName name="solver_drv" localSheetId="4" hidden="1">1</definedName>
    <definedName name="solver_est" localSheetId="4" hidden="1">1</definedName>
    <definedName name="solver_itr" localSheetId="4" hidden="1">100</definedName>
    <definedName name="solver_lin" localSheetId="4" hidden="1">2</definedName>
    <definedName name="solver_neg" localSheetId="4" hidden="1">2</definedName>
    <definedName name="solver_num" localSheetId="4" hidden="1">0</definedName>
    <definedName name="solver_nwt" localSheetId="4" hidden="1">1</definedName>
    <definedName name="solver_pre" localSheetId="4" hidden="1">0.000001</definedName>
    <definedName name="solver_scl" localSheetId="4" hidden="1">2</definedName>
    <definedName name="solver_sho" localSheetId="4" hidden="1">2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val" localSheetId="4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2" l="1"/>
  <c r="G71" i="2"/>
  <c r="B72" i="2"/>
  <c r="B73" i="2" s="1"/>
  <c r="B74" i="2" s="1"/>
  <c r="B75" i="2" s="1"/>
  <c r="B76" i="2" s="1"/>
  <c r="B77" i="2" s="1"/>
  <c r="B78" i="2" s="1"/>
  <c r="B79" i="2" s="1"/>
  <c r="B24" i="2"/>
  <c r="H33" i="2"/>
  <c r="J32" i="2"/>
  <c r="G72" i="2"/>
  <c r="J72" i="2"/>
  <c r="G73" i="2"/>
  <c r="J73" i="2"/>
  <c r="G74" i="2"/>
  <c r="J74" i="2"/>
  <c r="G75" i="2"/>
  <c r="J75" i="2"/>
  <c r="G76" i="2"/>
  <c r="J76" i="2"/>
  <c r="G77" i="2"/>
  <c r="J77" i="2"/>
  <c r="G78" i="2"/>
  <c r="J78" i="2"/>
  <c r="G79" i="2"/>
  <c r="J79" i="2"/>
  <c r="G80" i="2"/>
  <c r="J80" i="2"/>
  <c r="G81" i="2"/>
  <c r="J81" i="2"/>
  <c r="G82" i="2"/>
  <c r="J82" i="2"/>
  <c r="G83" i="2"/>
  <c r="J83" i="2"/>
  <c r="G84" i="2"/>
  <c r="J84" i="2"/>
  <c r="G85" i="2"/>
  <c r="J85" i="2"/>
  <c r="E86" i="2"/>
  <c r="G86" i="2"/>
  <c r="J86" i="2"/>
  <c r="E87" i="2"/>
  <c r="G87" i="2"/>
  <c r="J87" i="2"/>
  <c r="E88" i="2"/>
  <c r="G88" i="2"/>
  <c r="J88" i="2"/>
  <c r="G89" i="2"/>
  <c r="J89" i="2"/>
  <c r="B90" i="2"/>
  <c r="C90" i="2"/>
  <c r="G90" i="2"/>
  <c r="J90" i="2"/>
  <c r="G91" i="2"/>
  <c r="J91" i="2"/>
  <c r="G92" i="2"/>
  <c r="J92" i="2"/>
  <c r="G93" i="2"/>
  <c r="J93" i="2"/>
  <c r="G94" i="2"/>
  <c r="J94" i="2"/>
  <c r="G95" i="2"/>
  <c r="J95" i="2"/>
  <c r="G96" i="2"/>
  <c r="J96" i="2"/>
  <c r="G97" i="2"/>
  <c r="J97" i="2"/>
  <c r="G98" i="2"/>
  <c r="J98" i="2"/>
  <c r="G99" i="2"/>
  <c r="J99" i="2"/>
  <c r="G100" i="2"/>
  <c r="J100" i="2"/>
  <c r="G101" i="2"/>
  <c r="J101" i="2"/>
  <c r="G102" i="2"/>
  <c r="J102" i="2"/>
  <c r="G103" i="2"/>
  <c r="J103" i="2"/>
  <c r="G104" i="2"/>
  <c r="J104" i="2"/>
  <c r="G105" i="2"/>
  <c r="J105" i="2"/>
  <c r="G107" i="2"/>
  <c r="J107" i="2"/>
  <c r="G108" i="2"/>
  <c r="J108" i="2"/>
  <c r="I31" i="2"/>
  <c r="L34" i="2"/>
  <c r="I32" i="2"/>
  <c r="K29" i="2"/>
  <c r="K28" i="2"/>
  <c r="J33" i="2"/>
  <c r="C32" i="2"/>
  <c r="E30" i="2"/>
  <c r="C34" i="2"/>
  <c r="J29" i="2"/>
  <c r="E27" i="2"/>
  <c r="H27" i="2"/>
  <c r="L27" i="2"/>
  <c r="I33" i="2"/>
  <c r="H30" i="2"/>
  <c r="D30" i="2"/>
  <c r="M33" i="2"/>
  <c r="G32" i="2"/>
  <c r="E28" i="2"/>
  <c r="K27" i="2"/>
  <c r="L30" i="2"/>
  <c r="C27" i="2"/>
  <c r="B29" i="2"/>
  <c r="J31" i="2"/>
  <c r="G31" i="2"/>
  <c r="L28" i="2"/>
  <c r="C28" i="2"/>
  <c r="I27" i="2"/>
  <c r="B27" i="2"/>
  <c r="B35" i="2" s="1"/>
  <c r="B37" i="2" s="1"/>
  <c r="D27" i="2"/>
  <c r="F28" i="2"/>
  <c r="B34" i="2"/>
  <c r="B36" i="2" s="1"/>
  <c r="I29" i="2"/>
  <c r="J28" i="2"/>
  <c r="M34" i="2"/>
  <c r="F31" i="2"/>
  <c r="J27" i="2"/>
  <c r="E29" i="2"/>
  <c r="B33" i="2"/>
  <c r="J34" i="2"/>
  <c r="D29" i="2"/>
  <c r="F30" i="2"/>
  <c r="H31" i="2"/>
  <c r="G27" i="2"/>
  <c r="M32" i="2"/>
  <c r="D28" i="2"/>
  <c r="D32" i="2"/>
  <c r="C33" i="2"/>
  <c r="M31" i="2"/>
  <c r="G30" i="2"/>
  <c r="G34" i="2"/>
  <c r="M28" i="2"/>
  <c r="H29" i="2"/>
  <c r="B32" i="2"/>
  <c r="C31" i="2"/>
  <c r="F34" i="2"/>
  <c r="I34" i="2"/>
  <c r="G28" i="2"/>
  <c r="K32" i="2"/>
  <c r="D33" i="2"/>
  <c r="K31" i="2"/>
  <c r="B30" i="2"/>
  <c r="H32" i="2"/>
  <c r="H28" i="2"/>
  <c r="M29" i="2"/>
  <c r="F27" i="2"/>
  <c r="L31" i="2"/>
  <c r="M27" i="2"/>
  <c r="L33" i="2"/>
  <c r="E31" i="2"/>
  <c r="K30" i="2"/>
  <c r="G29" i="2"/>
  <c r="E32" i="2"/>
  <c r="E34" i="2"/>
  <c r="F32" i="2"/>
  <c r="D34" i="2"/>
  <c r="B28" i="2"/>
  <c r="F29" i="2"/>
  <c r="G33" i="2"/>
  <c r="L29" i="2"/>
  <c r="J30" i="2"/>
  <c r="K33" i="2"/>
  <c r="I30" i="2"/>
  <c r="L32" i="2"/>
  <c r="I28" i="2"/>
  <c r="D31" i="2"/>
  <c r="K34" i="2"/>
  <c r="M30" i="2"/>
  <c r="F33" i="2"/>
  <c r="C29" i="2"/>
  <c r="H34" i="2"/>
  <c r="B31" i="2"/>
  <c r="C30" i="2"/>
  <c r="E33" i="2"/>
  <c r="C78" i="2" l="1"/>
  <c r="C73" i="2"/>
  <c r="L45" i="2"/>
  <c r="B44" i="2"/>
  <c r="B41" i="2"/>
  <c r="G44" i="2"/>
  <c r="G55" i="2" s="1"/>
  <c r="H44" i="2"/>
  <c r="H55" i="2" s="1"/>
  <c r="L43" i="2"/>
  <c r="G47" i="2"/>
  <c r="C79" i="2"/>
  <c r="C72" i="2"/>
  <c r="L41" i="2"/>
  <c r="I42" i="2"/>
  <c r="I53" i="2" s="1"/>
  <c r="J42" i="2"/>
  <c r="J53" i="2" s="1"/>
  <c r="C42" i="2"/>
  <c r="C53" i="2" s="1"/>
  <c r="G43" i="2"/>
  <c r="I47" i="2"/>
  <c r="J41" i="2"/>
  <c r="E43" i="2"/>
  <c r="E48" i="2"/>
  <c r="E59" i="2" s="1"/>
  <c r="F42" i="2"/>
  <c r="F53" i="2" s="1"/>
  <c r="I43" i="2"/>
  <c r="J45" i="2"/>
  <c r="J46" i="2"/>
  <c r="J57" i="2" s="1"/>
  <c r="I44" i="2"/>
  <c r="I55" i="2" s="1"/>
  <c r="C75" i="2"/>
  <c r="C74" i="2"/>
  <c r="C76" i="2"/>
  <c r="D76" i="2" s="1"/>
  <c r="E76" i="2" s="1"/>
  <c r="B38" i="2"/>
  <c r="F48" i="2" s="1"/>
  <c r="F59" i="2" s="1"/>
  <c r="L44" i="2"/>
  <c r="L55" i="2" s="1"/>
  <c r="C77" i="2"/>
  <c r="D77" i="2" s="1"/>
  <c r="E77" i="2" s="1"/>
  <c r="F43" i="2"/>
  <c r="H45" i="2"/>
  <c r="G41" i="2"/>
  <c r="L47" i="2"/>
  <c r="H42" i="2"/>
  <c r="H53" i="2" s="1"/>
  <c r="F45" i="2"/>
  <c r="C45" i="2"/>
  <c r="C56" i="2" s="1"/>
  <c r="H43" i="2"/>
  <c r="K44" i="2"/>
  <c r="K55" i="2" s="1"/>
  <c r="D45" i="2"/>
  <c r="D56" i="2" s="1"/>
  <c r="L46" i="2"/>
  <c r="L57" i="2" s="1"/>
  <c r="K47" i="2"/>
  <c r="K58" i="2" l="1"/>
  <c r="I92" i="2"/>
  <c r="J52" i="2"/>
  <c r="G54" i="2"/>
  <c r="I81" i="2"/>
  <c r="H56" i="2"/>
  <c r="H54" i="2"/>
  <c r="I85" i="2"/>
  <c r="M41" i="2"/>
  <c r="K48" i="2"/>
  <c r="K59" i="2" s="1"/>
  <c r="H48" i="2"/>
  <c r="H59" i="2" s="1"/>
  <c r="D41" i="2"/>
  <c r="D52" i="2" s="1"/>
  <c r="C44" i="2"/>
  <c r="C55" i="2" s="1"/>
  <c r="B48" i="2"/>
  <c r="L42" i="2"/>
  <c r="L53" i="2" s="1"/>
  <c r="C41" i="2"/>
  <c r="C52" i="2" s="1"/>
  <c r="D44" i="2"/>
  <c r="D55" i="2" s="1"/>
  <c r="G46" i="2"/>
  <c r="G57" i="2" s="1"/>
  <c r="I48" i="2"/>
  <c r="I59" i="2" s="1"/>
  <c r="I101" i="2"/>
  <c r="L54" i="2"/>
  <c r="G52" i="2"/>
  <c r="I80" i="2"/>
  <c r="L52" i="2"/>
  <c r="B42" i="2"/>
  <c r="D73" i="2"/>
  <c r="E73" i="2" s="1"/>
  <c r="E42" i="2"/>
  <c r="E53" i="2" s="1"/>
  <c r="D78" i="2"/>
  <c r="E78" i="2" s="1"/>
  <c r="K42" i="2"/>
  <c r="K53" i="2" s="1"/>
  <c r="F44" i="2"/>
  <c r="F55" i="2" s="1"/>
  <c r="D74" i="2"/>
  <c r="E74" i="2" s="1"/>
  <c r="M45" i="2"/>
  <c r="M48" i="2"/>
  <c r="M59" i="2" s="1"/>
  <c r="D79" i="2"/>
  <c r="E79" i="2" s="1"/>
  <c r="L48" i="2"/>
  <c r="L59" i="2" s="1"/>
  <c r="E41" i="2"/>
  <c r="G48" i="2"/>
  <c r="G59" i="2" s="1"/>
  <c r="I89" i="2"/>
  <c r="I54" i="2"/>
  <c r="F56" i="2"/>
  <c r="E54" i="2"/>
  <c r="D72" i="2"/>
  <c r="E72" i="2" s="1"/>
  <c r="D42" i="2"/>
  <c r="D53" i="2" s="1"/>
  <c r="I41" i="2"/>
  <c r="H47" i="2"/>
  <c r="E47" i="2"/>
  <c r="C43" i="2"/>
  <c r="C54" i="2" s="1"/>
  <c r="M46" i="2"/>
  <c r="M57" i="2" s="1"/>
  <c r="E45" i="2"/>
  <c r="H41" i="2"/>
  <c r="M43" i="2"/>
  <c r="F47" i="2"/>
  <c r="M47" i="2"/>
  <c r="B47" i="2"/>
  <c r="J44" i="2"/>
  <c r="J55" i="2" s="1"/>
  <c r="M44" i="2"/>
  <c r="M55" i="2" s="1"/>
  <c r="E46" i="2"/>
  <c r="E57" i="2" s="1"/>
  <c r="G58" i="2"/>
  <c r="L58" i="2"/>
  <c r="I58" i="2"/>
  <c r="I91" i="2"/>
  <c r="I94" i="2"/>
  <c r="J56" i="2"/>
  <c r="F54" i="2"/>
  <c r="I102" i="2"/>
  <c r="L56" i="2"/>
  <c r="H46" i="2"/>
  <c r="H57" i="2" s="1"/>
  <c r="G45" i="2"/>
  <c r="K45" i="2"/>
  <c r="B46" i="2"/>
  <c r="F41" i="2"/>
  <c r="F46" i="2"/>
  <c r="F57" i="2" s="1"/>
  <c r="I46" i="2"/>
  <c r="I57" i="2" s="1"/>
  <c r="B45" i="2"/>
  <c r="K43" i="2"/>
  <c r="B43" i="2"/>
  <c r="D75" i="2"/>
  <c r="E75" i="2" s="1"/>
  <c r="D48" i="2"/>
  <c r="D59" i="2" s="1"/>
  <c r="D43" i="2"/>
  <c r="D54" i="2" s="1"/>
  <c r="E44" i="2"/>
  <c r="E55" i="2" s="1"/>
  <c r="K41" i="2"/>
  <c r="K46" i="2"/>
  <c r="K57" i="2" s="1"/>
  <c r="C46" i="2"/>
  <c r="C57" i="2" s="1"/>
  <c r="I45" i="2"/>
  <c r="J48" i="2"/>
  <c r="J59" i="2" s="1"/>
  <c r="D46" i="2"/>
  <c r="D57" i="2" s="1"/>
  <c r="M42" i="2"/>
  <c r="M53" i="2" s="1"/>
  <c r="J47" i="2"/>
  <c r="D47" i="2"/>
  <c r="D58" i="2" s="1"/>
  <c r="J43" i="2"/>
  <c r="C48" i="2"/>
  <c r="C59" i="2" s="1"/>
  <c r="C47" i="2"/>
  <c r="C58" i="2" s="1"/>
  <c r="G42" i="2"/>
  <c r="G53" i="2" s="1"/>
  <c r="H52" i="2" l="1"/>
  <c r="I84" i="2"/>
  <c r="E52" i="2"/>
  <c r="I72" i="2"/>
  <c r="I108" i="2"/>
  <c r="M58" i="2"/>
  <c r="M56" i="2"/>
  <c r="I107" i="2"/>
  <c r="I86" i="2"/>
  <c r="I98" i="2"/>
  <c r="K56" i="2"/>
  <c r="J58" i="2"/>
  <c r="I95" i="2"/>
  <c r="I56" i="2"/>
  <c r="I90" i="2"/>
  <c r="I52" i="2"/>
  <c r="I88" i="2"/>
  <c r="I100" i="2"/>
  <c r="I78" i="2"/>
  <c r="I105" i="2"/>
  <c r="M54" i="2"/>
  <c r="M52" i="2"/>
  <c r="I104" i="2"/>
  <c r="I87" i="2"/>
  <c r="H58" i="2"/>
  <c r="I96" i="2"/>
  <c r="K52" i="2"/>
  <c r="I103" i="2"/>
  <c r="I73" i="2"/>
  <c r="I83" i="2"/>
  <c r="K54" i="2"/>
  <c r="I97" i="2"/>
  <c r="F52" i="2"/>
  <c r="I76" i="2"/>
  <c r="I79" i="2"/>
  <c r="F58" i="2"/>
  <c r="I74" i="2"/>
  <c r="E56" i="2"/>
  <c r="I77" i="2"/>
  <c r="I99" i="2"/>
  <c r="J54" i="2"/>
  <c r="I93" i="2"/>
  <c r="G56" i="2"/>
  <c r="I82" i="2"/>
  <c r="E58" i="2"/>
  <c r="I75" i="2"/>
  <c r="C83" i="2"/>
  <c r="C82" i="2"/>
  <c r="K68" i="2" s="1"/>
  <c r="C81" i="2"/>
  <c r="I68" i="2" s="1"/>
  <c r="H65" i="2"/>
  <c r="J67" i="2" l="1"/>
  <c r="I69" i="2"/>
  <c r="K91" i="2" s="1"/>
  <c r="E65" i="2"/>
  <c r="F67" i="2"/>
  <c r="L65" i="2"/>
  <c r="F66" i="2"/>
  <c r="H63" i="2"/>
  <c r="G66" i="2"/>
  <c r="L64" i="2"/>
  <c r="J65" i="2"/>
  <c r="I64" i="2"/>
  <c r="F63" i="2"/>
  <c r="H62" i="2"/>
  <c r="C68" i="2"/>
  <c r="I63" i="2"/>
  <c r="H88" i="2" s="1"/>
  <c r="F62" i="2"/>
  <c r="D68" i="2"/>
  <c r="C69" i="2"/>
  <c r="C63" i="2"/>
  <c r="K66" i="2"/>
  <c r="M69" i="2"/>
  <c r="L63" i="2"/>
  <c r="E69" i="2"/>
  <c r="E62" i="2"/>
  <c r="L66" i="2"/>
  <c r="M63" i="2"/>
  <c r="K104" i="2" s="1"/>
  <c r="C88" i="2"/>
  <c r="L68" i="2"/>
  <c r="D62" i="2"/>
  <c r="C87" i="2"/>
  <c r="G64" i="2"/>
  <c r="G63" i="2"/>
  <c r="H80" i="2" s="1"/>
  <c r="I62" i="2"/>
  <c r="I67" i="2"/>
  <c r="K62" i="2"/>
  <c r="E64" i="2"/>
  <c r="H73" i="2" s="1"/>
  <c r="G62" i="2"/>
  <c r="K80" i="2" s="1"/>
  <c r="C62" i="2"/>
  <c r="M62" i="2"/>
  <c r="F77" i="2"/>
  <c r="G67" i="2"/>
  <c r="M65" i="2"/>
  <c r="E68" i="2"/>
  <c r="K69" i="2"/>
  <c r="H99" i="2" s="1"/>
  <c r="M91" i="2"/>
  <c r="M104" i="2"/>
  <c r="K103" i="2"/>
  <c r="D66" i="2"/>
  <c r="K101" i="2"/>
  <c r="L67" i="2"/>
  <c r="F76" i="2"/>
  <c r="F68" i="2"/>
  <c r="D67" i="2"/>
  <c r="L62" i="2"/>
  <c r="L69" i="2"/>
  <c r="F69" i="2"/>
  <c r="C86" i="2"/>
  <c r="H69" i="2"/>
  <c r="F75" i="2"/>
  <c r="C65" i="2"/>
  <c r="J66" i="2"/>
  <c r="G65" i="2"/>
  <c r="I66" i="2"/>
  <c r="J64" i="2"/>
  <c r="C67" i="2"/>
  <c r="J69" i="2"/>
  <c r="C66" i="2"/>
  <c r="J62" i="2"/>
  <c r="K63" i="2"/>
  <c r="F65" i="2"/>
  <c r="D65" i="2"/>
  <c r="K67" i="2"/>
  <c r="F64" i="2"/>
  <c r="F79" i="2"/>
  <c r="M66" i="2"/>
  <c r="H67" i="2"/>
  <c r="G69" i="2"/>
  <c r="D64" i="2"/>
  <c r="H64" i="2"/>
  <c r="I65" i="2"/>
  <c r="H68" i="2"/>
  <c r="J68" i="2"/>
  <c r="K64" i="2"/>
  <c r="M64" i="2"/>
  <c r="D63" i="2"/>
  <c r="F74" i="2"/>
  <c r="G68" i="2"/>
  <c r="F72" i="2"/>
  <c r="K65" i="2"/>
  <c r="M68" i="2"/>
  <c r="E66" i="2"/>
  <c r="E63" i="2"/>
  <c r="F73" i="2"/>
  <c r="F78" i="2"/>
  <c r="H66" i="2"/>
  <c r="M67" i="2"/>
  <c r="D69" i="2"/>
  <c r="J63" i="2"/>
  <c r="C64" i="2"/>
  <c r="E67" i="2"/>
  <c r="H75" i="2" l="1"/>
  <c r="K75" i="2"/>
  <c r="H103" i="2"/>
  <c r="K76" i="2"/>
  <c r="H76" i="2"/>
  <c r="K99" i="2"/>
  <c r="H84" i="2"/>
  <c r="K84" i="2"/>
  <c r="K89" i="2"/>
  <c r="H101" i="2"/>
  <c r="L101" i="2" s="1"/>
  <c r="K73" i="2"/>
  <c r="M73" i="2" s="1"/>
  <c r="H104" i="2"/>
  <c r="L104" i="2" s="1"/>
  <c r="K88" i="2"/>
  <c r="M88" i="2" s="1"/>
  <c r="H82" i="2"/>
  <c r="K82" i="2"/>
  <c r="H78" i="2"/>
  <c r="K78" i="2"/>
  <c r="H91" i="2"/>
  <c r="L91" i="2" s="1"/>
  <c r="K100" i="2"/>
  <c r="H100" i="2"/>
  <c r="H79" i="2"/>
  <c r="K79" i="2"/>
  <c r="H108" i="2"/>
  <c r="N108" i="2" s="1"/>
  <c r="K108" i="2"/>
  <c r="M101" i="2"/>
  <c r="K83" i="2"/>
  <c r="H83" i="2"/>
  <c r="H105" i="2"/>
  <c r="K105" i="2"/>
  <c r="K90" i="2"/>
  <c r="H90" i="2"/>
  <c r="H95" i="2"/>
  <c r="K95" i="2"/>
  <c r="M89" i="2"/>
  <c r="L89" i="2"/>
  <c r="K98" i="2"/>
  <c r="H98" i="2"/>
  <c r="K96" i="2"/>
  <c r="H96" i="2"/>
  <c r="M80" i="2"/>
  <c r="L80" i="2"/>
  <c r="L103" i="2"/>
  <c r="M103" i="2"/>
  <c r="K81" i="2"/>
  <c r="H81" i="2"/>
  <c r="H94" i="2"/>
  <c r="K94" i="2"/>
  <c r="K77" i="2"/>
  <c r="H77" i="2"/>
  <c r="H72" i="2"/>
  <c r="K72" i="2"/>
  <c r="H74" i="2"/>
  <c r="K74" i="2"/>
  <c r="K102" i="2"/>
  <c r="H102" i="2"/>
  <c r="H92" i="2"/>
  <c r="K92" i="2"/>
  <c r="H93" i="2"/>
  <c r="K93" i="2"/>
  <c r="K97" i="2"/>
  <c r="H97" i="2"/>
  <c r="H87" i="2"/>
  <c r="K87" i="2"/>
  <c r="H85" i="2"/>
  <c r="K85" i="2"/>
  <c r="K86" i="2"/>
  <c r="H86" i="2"/>
  <c r="K107" i="2"/>
  <c r="H107" i="2"/>
  <c r="N107" i="2" s="1"/>
  <c r="H89" i="2"/>
  <c r="L84" i="2" l="1"/>
  <c r="M84" i="2"/>
  <c r="L78" i="2"/>
  <c r="M78" i="2"/>
  <c r="L82" i="2"/>
  <c r="M82" i="2"/>
  <c r="L99" i="2"/>
  <c r="M99" i="2"/>
  <c r="M76" i="2"/>
  <c r="L76" i="2"/>
  <c r="L75" i="2"/>
  <c r="M75" i="2"/>
  <c r="L88" i="2"/>
  <c r="L73" i="2"/>
  <c r="L92" i="2"/>
  <c r="M92" i="2"/>
  <c r="M72" i="2"/>
  <c r="L72" i="2"/>
  <c r="L105" i="2"/>
  <c r="M105" i="2"/>
  <c r="M94" i="2"/>
  <c r="L94" i="2"/>
  <c r="L87" i="2"/>
  <c r="M87" i="2"/>
  <c r="M95" i="2"/>
  <c r="L95" i="2"/>
  <c r="M77" i="2"/>
  <c r="L77" i="2"/>
  <c r="M108" i="2"/>
  <c r="L108" i="2"/>
  <c r="M98" i="2"/>
  <c r="L98" i="2"/>
  <c r="L102" i="2"/>
  <c r="M102" i="2"/>
  <c r="M74" i="2"/>
  <c r="L74" i="2"/>
  <c r="M90" i="2"/>
  <c r="L90" i="2"/>
  <c r="L107" i="2"/>
  <c r="M107" i="2"/>
  <c r="L86" i="2"/>
  <c r="M86" i="2"/>
  <c r="M83" i="2"/>
  <c r="L83" i="2"/>
  <c r="L85" i="2"/>
  <c r="M85" i="2"/>
  <c r="M81" i="2"/>
  <c r="L81" i="2"/>
  <c r="L79" i="2"/>
  <c r="M79" i="2"/>
  <c r="M97" i="2"/>
  <c r="L97" i="2"/>
  <c r="L93" i="2"/>
  <c r="M93" i="2"/>
  <c r="L96" i="2"/>
  <c r="M96" i="2"/>
  <c r="L100" i="2"/>
  <c r="M100" i="2"/>
</calcChain>
</file>

<file path=xl/sharedStrings.xml><?xml version="1.0" encoding="utf-8"?>
<sst xmlns="http://schemas.openxmlformats.org/spreadsheetml/2006/main" count="597" uniqueCount="396">
  <si>
    <t>A</t>
  </si>
  <si>
    <t>B</t>
  </si>
  <si>
    <t>C</t>
  </si>
  <si>
    <t>D</t>
  </si>
  <si>
    <t>E</t>
  </si>
  <si>
    <t>F</t>
  </si>
  <si>
    <t>G</t>
  </si>
  <si>
    <t>H</t>
  </si>
  <si>
    <t>AvgBlank=</t>
  </si>
  <si>
    <t>AvgTA=</t>
  </si>
  <si>
    <t>AvgNSB=</t>
  </si>
  <si>
    <t>AvgBo=</t>
  </si>
  <si>
    <t>Dilution</t>
  </si>
  <si>
    <t>TA</t>
  </si>
  <si>
    <t>NSB</t>
  </si>
  <si>
    <t>Bo</t>
  </si>
  <si>
    <t>Std01</t>
  </si>
  <si>
    <t>Std02</t>
  </si>
  <si>
    <t>Std03</t>
  </si>
  <si>
    <t>Std04</t>
  </si>
  <si>
    <t>Std05</t>
  </si>
  <si>
    <t>Std06</t>
  </si>
  <si>
    <t>Std07</t>
  </si>
  <si>
    <t>Std08</t>
  </si>
  <si>
    <t>Avg</t>
  </si>
  <si>
    <t>B/Bo</t>
  </si>
  <si>
    <t>slope=</t>
  </si>
  <si>
    <t>Logit</t>
  </si>
  <si>
    <t>%CV</t>
  </si>
  <si>
    <t>LAYOUT</t>
  </si>
  <si>
    <t>RAW DATA</t>
  </si>
  <si>
    <t>SUBTRACTED</t>
  </si>
  <si>
    <t>AvgRawBlnk=</t>
  </si>
  <si>
    <t>LOGIT</t>
  </si>
  <si>
    <t>SEM</t>
  </si>
  <si>
    <t>%B/Bo</t>
  </si>
  <si>
    <t>IC20=</t>
  </si>
  <si>
    <t>IC50=</t>
  </si>
  <si>
    <t>IC80=</t>
  </si>
  <si>
    <t>Smpl1</t>
  </si>
  <si>
    <t>Smpl2</t>
  </si>
  <si>
    <t>Smpl3</t>
  </si>
  <si>
    <t>Smpl4</t>
  </si>
  <si>
    <t>Smpl5</t>
  </si>
  <si>
    <t>Smpl6</t>
  </si>
  <si>
    <t>Smpl7</t>
  </si>
  <si>
    <t>Smpl8</t>
  </si>
  <si>
    <t>Smpl9</t>
  </si>
  <si>
    <t>Smpl10</t>
  </si>
  <si>
    <t>Smpl11</t>
  </si>
  <si>
    <t>Smpl12</t>
  </si>
  <si>
    <t>Smpl13</t>
  </si>
  <si>
    <t>Smpl14</t>
  </si>
  <si>
    <t>Smpl15</t>
  </si>
  <si>
    <t>Smpl16</t>
  </si>
  <si>
    <t>Smpl17</t>
  </si>
  <si>
    <t>Smpl18</t>
  </si>
  <si>
    <t>Smpl19</t>
  </si>
  <si>
    <t>Smpl20</t>
  </si>
  <si>
    <t>Smpl21</t>
  </si>
  <si>
    <t>Smpl22</t>
  </si>
  <si>
    <t>Smpl23</t>
  </si>
  <si>
    <t>Smpl24</t>
  </si>
  <si>
    <t>Smpl25</t>
  </si>
  <si>
    <t>Smpl26</t>
  </si>
  <si>
    <t>Smpl27</t>
  </si>
  <si>
    <t>Smpl28</t>
  </si>
  <si>
    <t>Smpl29</t>
  </si>
  <si>
    <t>Smpl30</t>
  </si>
  <si>
    <t>Smpl31</t>
  </si>
  <si>
    <t>Smpl32</t>
  </si>
  <si>
    <t>Smpl33</t>
  </si>
  <si>
    <t>Smpl34</t>
  </si>
  <si>
    <t>&gt;80% B/Bo</t>
  </si>
  <si>
    <t>&lt;20% B/Bo</t>
  </si>
  <si>
    <t>Ctrl1</t>
  </si>
  <si>
    <t>Ctrl2</t>
  </si>
  <si>
    <t>Blank</t>
  </si>
  <si>
    <t>=Data outside 20-80% B/Bo range</t>
  </si>
  <si>
    <t>% Error</t>
  </si>
  <si>
    <t>Conc</t>
  </si>
  <si>
    <t>STANDARDS</t>
  </si>
  <si>
    <t>y-int=</t>
  </si>
  <si>
    <t>STATS</t>
  </si>
  <si>
    <t>Value</t>
  </si>
  <si>
    <t>CURVE</t>
  </si>
  <si>
    <t>Recalc</t>
  </si>
  <si>
    <t>CONC</t>
  </si>
  <si>
    <t>Assay</t>
  </si>
  <si>
    <t>Unit</t>
  </si>
  <si>
    <t>Abbr</t>
  </si>
  <si>
    <t>pg/mL</t>
  </si>
  <si>
    <t>11βF2α</t>
  </si>
  <si>
    <t>11dTBX2</t>
  </si>
  <si>
    <t>11keto</t>
  </si>
  <si>
    <t>nM</t>
  </si>
  <si>
    <t>ASSAY</t>
  </si>
  <si>
    <r>
      <t>R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=</t>
    </r>
  </si>
  <si>
    <t>ng/mL</t>
  </si>
  <si>
    <t>6kPGF1α</t>
  </si>
  <si>
    <t>8-Iso</t>
  </si>
  <si>
    <t>Aldost</t>
  </si>
  <si>
    <t>Atriopep</t>
  </si>
  <si>
    <t>cAMP</t>
  </si>
  <si>
    <t>Ac-cAMP</t>
  </si>
  <si>
    <t>cGMP</t>
  </si>
  <si>
    <t>Ac-cGMP</t>
  </si>
  <si>
    <t>CystLT</t>
  </si>
  <si>
    <t>Estradiol</t>
  </si>
  <si>
    <t>Estriol</t>
  </si>
  <si>
    <t>Growth</t>
  </si>
  <si>
    <t>Hista</t>
  </si>
  <si>
    <t>Insulin</t>
  </si>
  <si>
    <t>Latano</t>
  </si>
  <si>
    <t>LTB4</t>
  </si>
  <si>
    <t>LTC4</t>
  </si>
  <si>
    <t>LTE4</t>
  </si>
  <si>
    <t>Progest</t>
  </si>
  <si>
    <t>Prolactn</t>
  </si>
  <si>
    <t>PGD2Mx</t>
  </si>
  <si>
    <t>PGE2</t>
  </si>
  <si>
    <t>PGF2α</t>
  </si>
  <si>
    <t>PG-Scrn</t>
  </si>
  <si>
    <t>SubP</t>
  </si>
  <si>
    <t>Testo</t>
  </si>
  <si>
    <t>TBX2</t>
  </si>
  <si>
    <t>FILENAME</t>
  </si>
  <si>
    <t>Cortico</t>
  </si>
  <si>
    <t>PGEM</t>
  </si>
  <si>
    <t>AcSDKP</t>
  </si>
  <si>
    <t>(+)-Flu</t>
  </si>
  <si>
    <t>pmol/mL</t>
  </si>
  <si>
    <t>15(S)HETE</t>
  </si>
  <si>
    <t>Multiplier</t>
  </si>
  <si>
    <t>Cat#</t>
  </si>
  <si>
    <t>VERSION</t>
  </si>
  <si>
    <t>Cortisol</t>
  </si>
  <si>
    <t>516521</t>
  </si>
  <si>
    <t>582751</t>
  </si>
  <si>
    <t>534721</t>
  </si>
  <si>
    <t>515211</t>
  </si>
  <si>
    <t>516351</t>
  </si>
  <si>
    <t>589451</t>
  </si>
  <si>
    <t>589401</t>
  </si>
  <si>
    <t>516821</t>
  </si>
  <si>
    <t>514531</t>
  </si>
  <si>
    <t>581001</t>
  </si>
  <si>
    <t>581021</t>
  </si>
  <si>
    <t>582281</t>
  </si>
  <si>
    <t>516761</t>
  </si>
  <si>
    <t>589601</t>
  </si>
  <si>
    <t>589651</t>
  </si>
  <si>
    <t>589501</t>
  </si>
  <si>
    <t>516811</t>
  </si>
  <si>
    <t>582601</t>
  </si>
  <si>
    <t>589701</t>
  </si>
  <si>
    <t>512011</t>
  </si>
  <si>
    <t>514010</t>
  </si>
  <si>
    <t>516011</t>
  </si>
  <si>
    <t>514012</t>
  </si>
  <si>
    <t>582701</t>
  </si>
  <si>
    <t>PGD2</t>
  </si>
  <si>
    <t>500151</t>
  </si>
  <si>
    <t>D2MOXEx</t>
  </si>
  <si>
    <t>E2Expr</t>
  </si>
  <si>
    <t>500141</t>
  </si>
  <si>
    <t>STAT8Iso</t>
  </si>
  <si>
    <t>500431</t>
  </si>
  <si>
    <t>TBX2Exp</t>
  </si>
  <si>
    <t>10004023</t>
  </si>
  <si>
    <t>CortslEx</t>
  </si>
  <si>
    <t>StdDev</t>
  </si>
  <si>
    <t>2</t>
  </si>
  <si>
    <t>1</t>
  </si>
  <si>
    <t>Dilution Factor</t>
  </si>
  <si>
    <t>Needed for proper calculations, use 1 for undiluted samples, 2 for 2 fold, etc.</t>
  </si>
  <si>
    <t>512031</t>
  </si>
  <si>
    <t>PGD2Ex</t>
  </si>
  <si>
    <t>500360</t>
  </si>
  <si>
    <t>501001</t>
  </si>
  <si>
    <t>tetranor-PGDM</t>
  </si>
  <si>
    <t>501050</t>
  </si>
  <si>
    <t>VitD</t>
  </si>
  <si>
    <t>DNA</t>
  </si>
  <si>
    <t>589320</t>
  </si>
  <si>
    <t>516671</t>
  </si>
  <si>
    <t>1314F2a</t>
  </si>
  <si>
    <t xml:space="preserve">501070 </t>
  </si>
  <si>
    <t>PGIM</t>
  </si>
  <si>
    <t>501090</t>
  </si>
  <si>
    <t>500370</t>
  </si>
  <si>
    <t>501040</t>
  </si>
  <si>
    <t>cAMPsel</t>
  </si>
  <si>
    <t>500390</t>
  </si>
  <si>
    <t>CysLTExp</t>
  </si>
  <si>
    <t>501060</t>
  </si>
  <si>
    <t>2-ME</t>
  </si>
  <si>
    <t>582261</t>
  </si>
  <si>
    <t>DNAmeth</t>
  </si>
  <si>
    <t>589324</t>
  </si>
  <si>
    <t>500380</t>
  </si>
  <si>
    <t>RvD1</t>
  </si>
  <si>
    <t>Oxyto</t>
  </si>
  <si>
    <t>500440</t>
  </si>
  <si>
    <t>8-IsoExpress</t>
  </si>
  <si>
    <t>516360</t>
  </si>
  <si>
    <t>Entero</t>
  </si>
  <si>
    <t>500520</t>
  </si>
  <si>
    <t>RvD2</t>
  </si>
  <si>
    <t>LTB4 Express</t>
  </si>
  <si>
    <t>Practice</t>
  </si>
  <si>
    <t>10009658</t>
  </si>
  <si>
    <t>501020</t>
  </si>
  <si>
    <t>THC Met</t>
  </si>
  <si>
    <t>701570</t>
  </si>
  <si>
    <t>Lipoxin A4</t>
  </si>
  <si>
    <t>590410</t>
  </si>
  <si>
    <t>20OH-ecdysone</t>
  </si>
  <si>
    <t>17PT-PGF2α</t>
  </si>
  <si>
    <t>501700</t>
  </si>
  <si>
    <t>Oxycodone</t>
  </si>
  <si>
    <t>501590</t>
  </si>
  <si>
    <t>501420</t>
  </si>
  <si>
    <t>Oxoetiochol</t>
  </si>
  <si>
    <t>501300</t>
  </si>
  <si>
    <t>PDG</t>
  </si>
  <si>
    <t>E-3-G</t>
  </si>
  <si>
    <t>501290</t>
  </si>
  <si>
    <t>Maresin 1</t>
  </si>
  <si>
    <t>501150</t>
  </si>
  <si>
    <t>DNA 7E6.9</t>
  </si>
  <si>
    <t>501130</t>
  </si>
  <si>
    <t>µg/mL</t>
  </si>
  <si>
    <t>COX1H</t>
  </si>
  <si>
    <t>701070</t>
  </si>
  <si>
    <t>COX2H</t>
  </si>
  <si>
    <t>701080</t>
  </si>
  <si>
    <t>COX1O</t>
  </si>
  <si>
    <t>701090</t>
  </si>
  <si>
    <t>COXH</t>
  </si>
  <si>
    <t>701230</t>
  </si>
  <si>
    <t>519510</t>
  </si>
  <si>
    <t>501390</t>
  </si>
  <si>
    <t>501100</t>
  </si>
  <si>
    <t>11-dehydro Thromboxane B2 , item # 519510</t>
  </si>
  <si>
    <t>11-keto Testosterone , item # 582751</t>
  </si>
  <si>
    <t>11-Oxoetiocholanolone, item # 501420</t>
  </si>
  <si>
    <t>11β-Prostaglandin F2α, item # 516521</t>
  </si>
  <si>
    <t>13,14-dihydro-15 keto Prostaglandin F2α, item # 516671</t>
  </si>
  <si>
    <t>15(S)-HETE, item # 534721</t>
  </si>
  <si>
    <t>17-Phenyl trinor Prostaglandin F2α, item # 516821</t>
  </si>
  <si>
    <t>20-Hydroxyecdysone, item # 501390</t>
  </si>
  <si>
    <t>8-Isoprostane, item # 516351</t>
  </si>
  <si>
    <t>8-Isoprostane Express, item # 516360</t>
  </si>
  <si>
    <t>8-Isoprostane STAT, item # 500431</t>
  </si>
  <si>
    <t>AcSDKP, item # 589451</t>
  </si>
  <si>
    <t>501320</t>
  </si>
  <si>
    <t xml:space="preserve">Aldosterone, item # 501090  </t>
  </si>
  <si>
    <t xml:space="preserve"> </t>
  </si>
  <si>
    <t xml:space="preserve">Atriopeptin (rat), item # 589401   </t>
  </si>
  <si>
    <t>Corticosterone, item # 501320</t>
  </si>
  <si>
    <t>Cortisol, item # 500360</t>
  </si>
  <si>
    <t>Cortisol Express, item # 500370</t>
  </si>
  <si>
    <t>COX-1 (human), item # 701070</t>
  </si>
  <si>
    <t>COX-2 (human), item # 701080</t>
  </si>
  <si>
    <t>COX-1 (ovine), item # 701090</t>
  </si>
  <si>
    <t xml:space="preserve">Cyclic AMP (acetylated), item # 581001  </t>
  </si>
  <si>
    <t xml:space="preserve">Cyclic AMP (non-acetylated), item # 581001  </t>
  </si>
  <si>
    <t>Cyclic AMP Select, item # 501040</t>
  </si>
  <si>
    <t xml:space="preserve">Cyclic GMP (acetylated), item # 581021   </t>
  </si>
  <si>
    <t xml:space="preserve">Cyclic GMP (non-acetylated), item # 581021   </t>
  </si>
  <si>
    <t xml:space="preserve">Cysteinyl Leukotriene, item # 500390  </t>
  </si>
  <si>
    <t>DNA Methylation, item # 589324</t>
  </si>
  <si>
    <t>Enterolactone, item # 500520</t>
  </si>
  <si>
    <t xml:space="preserve">Estriol, item # 582281  </t>
  </si>
  <si>
    <t xml:space="preserve">Estrone-3-Glucuronide, item # 501290 </t>
  </si>
  <si>
    <t xml:space="preserve">Fluprostenol, item # 516761 </t>
  </si>
  <si>
    <t xml:space="preserve">Growth Hormone (rat), item # 589601  </t>
  </si>
  <si>
    <t xml:space="preserve">Histamine, item # 589651  </t>
  </si>
  <si>
    <t xml:space="preserve">Insulin (rat), item # 589501  </t>
  </si>
  <si>
    <t>Latanoprost, item # 516811</t>
  </si>
  <si>
    <t>Latanoprost  (free), item # 516811</t>
  </si>
  <si>
    <t xml:space="preserve">Leukotriene C4, item # 501070  </t>
  </si>
  <si>
    <t xml:space="preserve">Leukotriene E4, item # 501060  </t>
  </si>
  <si>
    <t>Lipoxin A4, item # 590410</t>
  </si>
  <si>
    <t>Maresin 1, item # 501150</t>
  </si>
  <si>
    <t xml:space="preserve">2-Methoxyestradiol, item # 582261 </t>
  </si>
  <si>
    <t>Oxycodone, item # 501590</t>
  </si>
  <si>
    <t>Oxytocin, item # 500440</t>
  </si>
  <si>
    <t>Resolvin D1, item # 500380</t>
  </si>
  <si>
    <t>Practice, item # 10009658</t>
  </si>
  <si>
    <t>Pregnanediol-3-Glucuronide (PDG), item # 501300</t>
  </si>
  <si>
    <t xml:space="preserve">Progesterone, item # 582601  </t>
  </si>
  <si>
    <t xml:space="preserve">Prolactin (rat), item # 589701  </t>
  </si>
  <si>
    <t>Prostaglandin D2, item # 512031</t>
  </si>
  <si>
    <t>Prostaglandin D2 Express, item # 512041</t>
  </si>
  <si>
    <t xml:space="preserve">Prostaglandin D2-MOX, item # 512011  </t>
  </si>
  <si>
    <t>Prostaglandin D2-MOX Express, item # 500151</t>
  </si>
  <si>
    <t>Prostaglandin E Metabolite, item # 514531</t>
  </si>
  <si>
    <t xml:space="preserve">Prostaglandin E2, item # 514010 </t>
  </si>
  <si>
    <t>Prostaglandin E2 Express, item # 500141</t>
  </si>
  <si>
    <t>Prostaglandin F2α, item # 516011</t>
  </si>
  <si>
    <t>Prostaglandin I Metabolite EIA kit, item # 501100</t>
  </si>
  <si>
    <t xml:space="preserve">Prostaglandin Screening, item # 514012 </t>
  </si>
  <si>
    <t xml:space="preserve">Testosterone, item # 582701  </t>
  </si>
  <si>
    <t>Tetranor PGDM, item # 501001</t>
  </si>
  <si>
    <t>THC Metabolite, item # 701570</t>
  </si>
  <si>
    <t xml:space="preserve">Thromboxane B2, item # 501020  </t>
  </si>
  <si>
    <t>Thromboxane B2 Express, item # 10004023</t>
  </si>
  <si>
    <t>Vitamin D, item # 501050</t>
  </si>
  <si>
    <t>COX(human), item # 701230</t>
  </si>
  <si>
    <t>6-keto Prostaglandin F1α, item # 515211</t>
  </si>
  <si>
    <t>501710</t>
  </si>
  <si>
    <t>501720</t>
  </si>
  <si>
    <t>Testosterone glucuronide, item # 501740</t>
  </si>
  <si>
    <t>501740</t>
  </si>
  <si>
    <t>501780</t>
  </si>
  <si>
    <t xml:space="preserve">Estradiol, item # 501890 </t>
  </si>
  <si>
    <t>501890</t>
  </si>
  <si>
    <t>Cyclic di-AMP, item # 501960</t>
  </si>
  <si>
    <t>501960</t>
  </si>
  <si>
    <t>Cyclic di-GMP, item # 501780</t>
  </si>
  <si>
    <t>15 epi Lipoxin A4, item # 590415</t>
  </si>
  <si>
    <t>590415</t>
  </si>
  <si>
    <t>Lipoxin B4, item # 501920</t>
  </si>
  <si>
    <t>12(13)DiHOME</t>
  </si>
  <si>
    <t>15epiLXA4</t>
  </si>
  <si>
    <t>9(10)DiHOME</t>
  </si>
  <si>
    <t>cdiAMP</t>
  </si>
  <si>
    <t>cdiGMP</t>
  </si>
  <si>
    <t>Lipoxin B4</t>
  </si>
  <si>
    <t>501920</t>
  </si>
  <si>
    <t>Testo glucur</t>
  </si>
  <si>
    <t>Bertin</t>
  </si>
  <si>
    <t>Morphine, item# 501940</t>
  </si>
  <si>
    <t>Morphine</t>
  </si>
  <si>
    <t>501940</t>
  </si>
  <si>
    <t>Albumin (human), item # 501760</t>
  </si>
  <si>
    <t>501760</t>
  </si>
  <si>
    <t>2',3'-cGAMP, item # 501700</t>
  </si>
  <si>
    <t>Resolvin E1 ELISA, item # 502150</t>
  </si>
  <si>
    <t>Cysteinyl Leukotriene Express, item # 10009291</t>
  </si>
  <si>
    <t>10009291</t>
  </si>
  <si>
    <t>RvE1</t>
  </si>
  <si>
    <t>502150</t>
  </si>
  <si>
    <t>Albumin(h)</t>
  </si>
  <si>
    <t>(±)12(13)-DiHOME, item # 501720</t>
  </si>
  <si>
    <t>12(S)HETE</t>
  </si>
  <si>
    <t>534571</t>
  </si>
  <si>
    <t>2',3'-cGAMP</t>
  </si>
  <si>
    <t>3'3'-cGAMP</t>
  </si>
  <si>
    <t>502130</t>
  </si>
  <si>
    <t>cGAS Inhibitor Screening, item # 701930</t>
  </si>
  <si>
    <t>3'3'-cGAMP, item # 502130</t>
  </si>
  <si>
    <t>12(S)-HETE, item # 534571</t>
  </si>
  <si>
    <t>(±)9(10)-DiHOME, Item # 501710</t>
  </si>
  <si>
    <t>cGAS</t>
  </si>
  <si>
    <t>701930</t>
  </si>
  <si>
    <t>Creatinine, item # 502330</t>
  </si>
  <si>
    <t>502330</t>
  </si>
  <si>
    <t>Gentamicin, item # 502400</t>
  </si>
  <si>
    <t>502400</t>
  </si>
  <si>
    <t>Kanamycin, item # 502370</t>
  </si>
  <si>
    <t>502370</t>
  </si>
  <si>
    <t>Leukotriene B4, item # 502390</t>
  </si>
  <si>
    <t>502390</t>
  </si>
  <si>
    <t>Microcystin, item # 502000</t>
  </si>
  <si>
    <t>502000</t>
  </si>
  <si>
    <t>Microcystin</t>
  </si>
  <si>
    <t>Creatinine</t>
  </si>
  <si>
    <t>Gentamicin</t>
  </si>
  <si>
    <t>Kanamycin</t>
  </si>
  <si>
    <t>3'2'-cGAMP, item # 502340</t>
  </si>
  <si>
    <t>3'2'-cGAMP</t>
  </si>
  <si>
    <t>502340</t>
  </si>
  <si>
    <t>Cyclic tetra-AMP, item # 502350</t>
  </si>
  <si>
    <t>502350</t>
  </si>
  <si>
    <t>2',3'-cGMP, item # 502510</t>
  </si>
  <si>
    <t>2',3'-cGMP</t>
  </si>
  <si>
    <t>502510</t>
  </si>
  <si>
    <t xml:space="preserve"> c-tetra-AMP</t>
  </si>
  <si>
    <t>Leukotriene B4 Express, item # 500003</t>
  </si>
  <si>
    <t>500003</t>
  </si>
  <si>
    <t>Substance P, item # 502630</t>
  </si>
  <si>
    <t>502630</t>
  </si>
  <si>
    <t>Cyclic CMP, item # 502480</t>
  </si>
  <si>
    <t>cCMP</t>
  </si>
  <si>
    <t>502480</t>
  </si>
  <si>
    <t>401076</t>
  </si>
  <si>
    <t>DNA/RNA Oxidative Damage Express, item # 502890</t>
  </si>
  <si>
    <t>DNA/RNA Oxidative Damage, item # 589320</t>
  </si>
  <si>
    <t>DNA/RNA Oxidative Damage Clone 7E6.9, item # 501130</t>
  </si>
  <si>
    <t>DNA Express</t>
  </si>
  <si>
    <t>502890</t>
  </si>
  <si>
    <t>Resolvin D2 ELISA Standard, item # 401076</t>
  </si>
  <si>
    <t>2026 February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</si>
</sst>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5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4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5" borderId="0" xfId="0" applyNumberFormat="1" applyFont="1" applyFill="1" applyAlignment="1" applyProtection="1">
      <alignment horizontal="center" vertical="center"/>
      <protection locked="0"/>
    </xf>
    <xf numFmtId="49" fontId="3" fillId="12" borderId="6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6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11" xfId="0" applyNumberFormat="1" applyFont="1" applyFill="1" applyBorder="1" applyAlignment="1" applyProtection="1">
      <alignment horizontal="center" vertical="center"/>
      <protection locked="0"/>
    </xf>
    <xf numFmtId="49" fontId="3" fillId="12" borderId="12" xfId="0" applyNumberFormat="1" applyFont="1" applyFill="1" applyBorder="1" applyAlignment="1" applyProtection="1">
      <alignment horizontal="center" vertical="center"/>
      <protection locked="0"/>
    </xf>
    <xf numFmtId="164" fontId="3" fillId="7" borderId="6" xfId="0" applyNumberFormat="1" applyFont="1" applyFill="1" applyBorder="1" applyAlignment="1" applyProtection="1">
      <alignment horizontal="center" vertical="center"/>
      <protection locked="0"/>
    </xf>
    <xf numFmtId="164" fontId="3" fillId="8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9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quotePrefix="1" applyNumberFormat="1" applyFont="1" applyAlignment="1" applyProtection="1">
      <alignment horizontal="center" vertical="center"/>
      <protection locked="0"/>
    </xf>
    <xf numFmtId="164" fontId="3" fillId="10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2" fontId="3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 applyProtection="1">
      <alignment horizontal="center" vertical="center"/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 hidden="1"/>
    </xf>
    <xf numFmtId="164" fontId="3" fillId="0" borderId="0" xfId="0" applyNumberFormat="1" applyFont="1" applyAlignment="1" applyProtection="1">
      <alignment horizontal="center" vertical="center"/>
      <protection locked="0" hidden="1"/>
    </xf>
    <xf numFmtId="164" fontId="2" fillId="0" borderId="0" xfId="0" applyNumberFormat="1" applyFont="1" applyAlignment="1">
      <alignment horizontal="center" vertical="center"/>
    </xf>
    <xf numFmtId="164" fontId="2" fillId="12" borderId="8" xfId="0" applyNumberFormat="1" applyFont="1" applyFill="1" applyBorder="1" applyAlignment="1" applyProtection="1">
      <alignment horizontal="center" vertical="center"/>
      <protection locked="0"/>
    </xf>
    <xf numFmtId="164" fontId="2" fillId="12" borderId="9" xfId="0" applyNumberFormat="1" applyFont="1" applyFill="1" applyBorder="1" applyAlignment="1">
      <alignment horizontal="center" vertical="center"/>
    </xf>
    <xf numFmtId="164" fontId="2" fillId="12" borderId="2" xfId="0" applyNumberFormat="1" applyFont="1" applyFill="1" applyBorder="1" applyAlignment="1" applyProtection="1">
      <alignment horizontal="center" vertical="center"/>
      <protection locked="0"/>
    </xf>
    <xf numFmtId="164" fontId="2" fillId="12" borderId="5" xfId="0" applyNumberFormat="1" applyFont="1" applyFill="1" applyBorder="1" applyAlignment="1" applyProtection="1">
      <alignment horizontal="center" vertical="center"/>
      <protection locked="0"/>
    </xf>
    <xf numFmtId="164" fontId="2" fillId="12" borderId="13" xfId="0" applyNumberFormat="1" applyFont="1" applyFill="1" applyBorder="1" applyAlignment="1">
      <alignment horizontal="center" vertical="center"/>
    </xf>
    <xf numFmtId="164" fontId="2" fillId="12" borderId="12" xfId="0" applyNumberFormat="1" applyFont="1" applyFill="1" applyBorder="1" applyAlignment="1" applyProtection="1">
      <alignment horizontal="center" vertical="center"/>
      <protection locked="0"/>
    </xf>
    <xf numFmtId="166" fontId="3" fillId="4" borderId="8" xfId="0" applyNumberFormat="1" applyFont="1" applyFill="1" applyBorder="1" applyAlignment="1" applyProtection="1">
      <alignment horizontal="center" vertical="center"/>
      <protection locked="0"/>
    </xf>
    <xf numFmtId="166" fontId="3" fillId="5" borderId="8" xfId="0" applyNumberFormat="1" applyFont="1" applyFill="1" applyBorder="1" applyAlignment="1" applyProtection="1">
      <alignment horizontal="center" vertical="center"/>
      <protection locked="0"/>
    </xf>
    <xf numFmtId="166" fontId="3" fillId="5" borderId="9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166" fontId="3" fillId="0" borderId="9" xfId="0" applyNumberFormat="1" applyFont="1" applyBorder="1" applyAlignment="1" applyProtection="1">
      <alignment horizontal="center" vertical="center"/>
      <protection locked="0"/>
    </xf>
    <xf numFmtId="166" fontId="3" fillId="4" borderId="5" xfId="0" applyNumberFormat="1" applyFont="1" applyFill="1" applyBorder="1" applyAlignment="1" applyProtection="1">
      <alignment horizontal="center" vertical="center"/>
      <protection locked="0"/>
    </xf>
    <xf numFmtId="166" fontId="3" fillId="5" borderId="10" xfId="0" applyNumberFormat="1" applyFont="1" applyFill="1" applyBorder="1" applyAlignment="1" applyProtection="1">
      <alignment horizontal="center" vertical="center"/>
      <protection locked="0"/>
    </xf>
    <xf numFmtId="166" fontId="3" fillId="5" borderId="0" xfId="0" applyNumberFormat="1" applyFont="1" applyFill="1" applyAlignment="1" applyProtection="1">
      <alignment horizontal="center" vertical="center"/>
      <protection locked="0"/>
    </xf>
    <xf numFmtId="166" fontId="3" fillId="0" borderId="6" xfId="0" applyNumberFormat="1" applyFont="1" applyBorder="1" applyAlignment="1" applyProtection="1">
      <alignment horizontal="center" vertical="center"/>
      <protection locked="0"/>
    </xf>
    <xf numFmtId="166" fontId="3" fillId="0" borderId="5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/>
      <protection locked="0"/>
    </xf>
    <xf numFmtId="166" fontId="3" fillId="6" borderId="8" xfId="0" applyNumberFormat="1" applyFont="1" applyFill="1" applyBorder="1" applyAlignment="1" applyProtection="1">
      <alignment horizontal="center" vertical="center"/>
      <protection locked="0"/>
    </xf>
    <xf numFmtId="166" fontId="3" fillId="0" borderId="11" xfId="0" applyNumberFormat="1" applyFont="1" applyBorder="1" applyAlignment="1" applyProtection="1">
      <alignment horizontal="center" vertical="center"/>
      <protection locked="0"/>
    </xf>
    <xf numFmtId="166" fontId="3" fillId="6" borderId="5" xfId="0" applyNumberFormat="1" applyFont="1" applyFill="1" applyBorder="1" applyAlignment="1" applyProtection="1">
      <alignment horizontal="center" vertical="center"/>
      <protection locked="0"/>
    </xf>
    <xf numFmtId="166" fontId="3" fillId="7" borderId="8" xfId="0" applyNumberFormat="1" applyFont="1" applyFill="1" applyBorder="1" applyAlignment="1" applyProtection="1">
      <alignment horizontal="center" vertical="center"/>
      <protection locked="0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10" xfId="0" applyNumberFormat="1" applyFont="1" applyFill="1" applyBorder="1" applyAlignment="1" applyProtection="1">
      <alignment horizontal="center" vertical="center"/>
      <protection locked="0"/>
    </xf>
    <xf numFmtId="166" fontId="3" fillId="0" borderId="10" xfId="0" applyNumberFormat="1" applyFont="1" applyBorder="1" applyAlignment="1" applyProtection="1">
      <alignment horizontal="center" vertical="center"/>
      <protection locked="0"/>
    </xf>
    <xf numFmtId="166" fontId="3" fillId="2" borderId="11" xfId="0" applyNumberFormat="1" applyFont="1" applyFill="1" applyBorder="1" applyAlignment="1" applyProtection="1">
      <alignment horizontal="center" vertical="center"/>
      <protection locked="0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166" fontId="3" fillId="8" borderId="4" xfId="0" applyNumberFormat="1" applyFont="1" applyFill="1" applyBorder="1" applyAlignment="1" applyProtection="1">
      <alignment horizontal="center" vertical="center"/>
      <protection locked="0"/>
    </xf>
    <xf numFmtId="166" fontId="3" fillId="5" borderId="5" xfId="0" applyNumberFormat="1" applyFont="1" applyFill="1" applyBorder="1" applyAlignment="1" applyProtection="1">
      <alignment horizontal="center" vertical="center"/>
      <protection locked="0"/>
    </xf>
    <xf numFmtId="166" fontId="3" fillId="5" borderId="13" xfId="0" applyNumberFormat="1" applyFont="1" applyFill="1" applyBorder="1" applyAlignment="1" applyProtection="1">
      <alignment horizontal="center" vertical="center"/>
      <protection locked="0"/>
    </xf>
    <xf numFmtId="166" fontId="3" fillId="0" borderId="12" xfId="0" applyNumberFormat="1" applyFont="1" applyBorder="1" applyAlignment="1" applyProtection="1">
      <alignment horizontal="center" vertical="center"/>
      <protection locked="0"/>
    </xf>
    <xf numFmtId="166" fontId="3" fillId="0" borderId="13" xfId="0" applyNumberFormat="1" applyFont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>
      <alignment horizontal="center" vertical="center"/>
    </xf>
    <xf numFmtId="166" fontId="3" fillId="5" borderId="8" xfId="0" applyNumberFormat="1" applyFont="1" applyFill="1" applyBorder="1" applyAlignment="1">
      <alignment horizontal="center" vertical="center"/>
    </xf>
    <xf numFmtId="166" fontId="3" fillId="5" borderId="9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6" fontId="3" fillId="4" borderId="6" xfId="0" applyNumberFormat="1" applyFont="1" applyFill="1" applyBorder="1" applyAlignment="1">
      <alignment horizontal="center" vertical="center"/>
    </xf>
    <xf numFmtId="166" fontId="3" fillId="5" borderId="10" xfId="0" applyNumberFormat="1" applyFont="1" applyFill="1" applyBorder="1" applyAlignment="1">
      <alignment horizontal="center" vertical="center"/>
    </xf>
    <xf numFmtId="166" fontId="3" fillId="5" borderId="0" xfId="0" applyNumberFormat="1" applyFont="1" applyFill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6" borderId="1" xfId="0" applyNumberFormat="1" applyFont="1" applyFill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166" fontId="3" fillId="6" borderId="6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7" borderId="11" xfId="0" applyNumberFormat="1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/>
    </xf>
    <xf numFmtId="166" fontId="3" fillId="2" borderId="15" xfId="0" applyNumberFormat="1" applyFont="1" applyFill="1" applyBorder="1" applyAlignment="1">
      <alignment horizontal="center" vertical="center"/>
    </xf>
    <xf numFmtId="166" fontId="3" fillId="8" borderId="4" xfId="0" applyNumberFormat="1" applyFont="1" applyFill="1" applyBorder="1" applyAlignment="1">
      <alignment horizontal="center" vertical="center"/>
    </xf>
    <xf numFmtId="166" fontId="3" fillId="5" borderId="5" xfId="0" applyNumberFormat="1" applyFont="1" applyFill="1" applyBorder="1" applyAlignment="1">
      <alignment horizontal="center" vertical="center"/>
    </xf>
    <xf numFmtId="166" fontId="3" fillId="5" borderId="13" xfId="0" applyNumberFormat="1" applyFont="1" applyFill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166" fontId="3" fillId="2" borderId="12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166" fontId="3" fillId="4" borderId="6" xfId="0" applyNumberFormat="1" applyFont="1" applyFill="1" applyBorder="1" applyAlignment="1" applyProtection="1">
      <alignment horizontal="center" vertical="center"/>
      <protection locked="0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6" borderId="6" xfId="0" applyNumberFormat="1" applyFont="1" applyFill="1" applyBorder="1" applyAlignment="1" applyProtection="1">
      <alignment horizontal="center" vertical="center"/>
      <protection locked="0"/>
    </xf>
    <xf numFmtId="166" fontId="3" fillId="7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0" xfId="0" applyNumberFormat="1" applyFont="1" applyFill="1" applyAlignment="1" applyProtection="1">
      <alignment horizontal="center" vertical="center"/>
      <protection locked="0"/>
    </xf>
    <xf numFmtId="165" fontId="3" fillId="0" borderId="6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4" borderId="14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" fontId="3" fillId="0" borderId="0" xfId="0" quotePrefix="1" applyNumberFormat="1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left" vertical="center"/>
      <protection locked="0" hidden="1"/>
    </xf>
    <xf numFmtId="164" fontId="3" fillId="0" borderId="0" xfId="0" applyNumberFormat="1" applyFont="1" applyAlignment="1" applyProtection="1">
      <alignment horizontal="left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 hidden="1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" fontId="3" fillId="5" borderId="8" xfId="0" applyNumberFormat="1" applyFont="1" applyFill="1" applyBorder="1" applyAlignment="1">
      <alignment horizontal="center" vertical="center"/>
    </xf>
    <xf numFmtId="2" fontId="3" fillId="5" borderId="10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Standard Curve</a:t>
            </a:r>
          </a:p>
        </c:rich>
      </c:tx>
      <c:layout>
        <c:manualLayout>
          <c:xMode val="edge"/>
          <c:yMode val="edge"/>
          <c:x val="0.39622642169728783"/>
          <c:y val="1.95760145366444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49500554938962E-2"/>
          <c:y val="0.14845024469820556"/>
          <c:w val="0.87014428412874589"/>
          <c:h val="0.76019575856443722"/>
        </c:manualLayout>
      </c:layout>
      <c:scatterChart>
        <c:scatterStyle val="lineMarker"/>
        <c:varyColors val="0"/>
        <c:ser>
          <c:idx val="0"/>
          <c:order val="0"/>
          <c:tx>
            <c:strRef>
              <c:f>Analysis!$E$71</c:f>
              <c:strCache>
                <c:ptCount val="1"/>
                <c:pt idx="0">
                  <c:v>Logit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-1.0280910132256378E-2"/>
                  <c:y val="-0.4368907062118371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Analysis!$B$72:$B$79</c:f>
              <c:numCache>
                <c:formatCode>0.00</c:formatCode>
                <c:ptCount val="8"/>
                <c:pt idx="0">
                  <c:v>100</c:v>
                </c:pt>
                <c:pt idx="1">
                  <c:v>33.333333333333336</c:v>
                </c:pt>
                <c:pt idx="2">
                  <c:v>11.111111111111112</c:v>
                </c:pt>
                <c:pt idx="3">
                  <c:v>3.7037037037037042</c:v>
                </c:pt>
                <c:pt idx="4">
                  <c:v>1.2345679012345681</c:v>
                </c:pt>
                <c:pt idx="5">
                  <c:v>0.41152263374485604</c:v>
                </c:pt>
                <c:pt idx="6">
                  <c:v>0.13717421124828535</c:v>
                </c:pt>
                <c:pt idx="7">
                  <c:v>4.5724737082761785E-2</c:v>
                </c:pt>
              </c:numCache>
            </c:numRef>
          </c:xVal>
          <c:yVal>
            <c:numRef>
              <c:f>Analysis!$E$72:$E$79</c:f>
              <c:numCache>
                <c:formatCode>0.000</c:formatCode>
                <c:ptCount val="8"/>
                <c:pt idx="0">
                  <c:v>-2.7167923489016759</c:v>
                </c:pt>
                <c:pt idx="1">
                  <c:v>-1.7342211559681209</c:v>
                </c:pt>
                <c:pt idx="2">
                  <c:v>-1.0992603207462368</c:v>
                </c:pt>
                <c:pt idx="3">
                  <c:v>-0.44587333218776692</c:v>
                </c:pt>
                <c:pt idx="4">
                  <c:v>4.8984628994010369E-2</c:v>
                </c:pt>
                <c:pt idx="5">
                  <c:v>0.97981131734144711</c:v>
                </c:pt>
                <c:pt idx="6">
                  <c:v>1.467995978159357</c:v>
                </c:pt>
                <c:pt idx="7">
                  <c:v>1.8462507997151398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37-4532-B970-3D42DE8D3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6792832"/>
        <c:axId val="1"/>
      </c:scatterChart>
      <c:valAx>
        <c:axId val="1286792832"/>
        <c:scaling>
          <c:logBase val="10"/>
          <c:orientation val="minMax"/>
        </c:scaling>
        <c:delete val="0"/>
        <c:axPos val="b"/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41287454068241469"/>
              <c:y val="0.929853130060870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Logit(B/Bo)</a:t>
                </a:r>
              </a:p>
            </c:rich>
          </c:tx>
          <c:layout>
            <c:manualLayout>
              <c:xMode val="edge"/>
              <c:yMode val="edge"/>
              <c:x val="1.2208690580344123E-2"/>
              <c:y val="0.438825212314909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6792832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EE27A3-F240-4684-BF3F-88D857E5EA8B}">
  <sheetPr codeName="Chart2"/>
  <sheetViews>
    <sheetView zoomScale="93" workbookViewId="0"/>
  </sheetViews>
  <pageMargins left="0.75" right="0.75" top="1" bottom="1" header="0.5" footer="0.5"/>
  <pageSetup orientation="landscape" r:id="rId1"/>
  <headerFooter alignWithMargins="0"/>
  <drawing r:id="rId2"/>
</chartsheet>
</file>

<file path=xl/ctrlProps/ctrlProp1.xml><?xml version="1.0" encoding="utf-8"?>
<formControlPr xmlns="http://schemas.microsoft.com/office/spreadsheetml/2009/9/main" objectType="Drop" dropStyle="combo" dx="22" fmlaLink="B1" fmlaRange="$X$202:$X$29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10</xdr:col>
      <xdr:colOff>57150</xdr:colOff>
      <xdr:row>44</xdr:row>
      <xdr:rowOff>28575</xdr:rowOff>
    </xdr:to>
    <xdr:pic>
      <xdr:nvPicPr>
        <xdr:cNvPr id="17578" name="Picture 1">
          <a:extLst>
            <a:ext uri="{FF2B5EF4-FFF2-40B4-BE49-F238E27FC236}">
              <a16:creationId xmlns:a16="http://schemas.microsoft.com/office/drawing/2014/main" id="{57DBA6AB-5D7D-404F-A189-C898D4BA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48375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20</xdr:col>
      <xdr:colOff>800100</xdr:colOff>
      <xdr:row>42</xdr:row>
      <xdr:rowOff>28575</xdr:rowOff>
    </xdr:to>
    <xdr:pic>
      <xdr:nvPicPr>
        <xdr:cNvPr id="12459" name="Picture 1">
          <a:extLst>
            <a:ext uri="{FF2B5EF4-FFF2-40B4-BE49-F238E27FC236}">
              <a16:creationId xmlns:a16="http://schemas.microsoft.com/office/drawing/2014/main" id="{C39C6555-11AF-4B99-F4EA-DD4D2FDE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0"/>
          <a:ext cx="5981700" cy="691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95250</xdr:rowOff>
    </xdr:from>
    <xdr:to>
      <xdr:col>19</xdr:col>
      <xdr:colOff>514350</xdr:colOff>
      <xdr:row>39</xdr:row>
      <xdr:rowOff>114300</xdr:rowOff>
    </xdr:to>
    <xdr:pic>
      <xdr:nvPicPr>
        <xdr:cNvPr id="18602" name="Picture 1">
          <a:extLst>
            <a:ext uri="{FF2B5EF4-FFF2-40B4-BE49-F238E27FC236}">
              <a16:creationId xmlns:a16="http://schemas.microsoft.com/office/drawing/2014/main" id="{F7E1B2E7-D4CB-09B6-E4B8-51E1B954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95250"/>
          <a:ext cx="7105650" cy="633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228600</xdr:rowOff>
    </xdr:from>
    <xdr:to>
      <xdr:col>11</xdr:col>
      <xdr:colOff>600075</xdr:colOff>
      <xdr:row>55</xdr:row>
      <xdr:rowOff>180975</xdr:rowOff>
    </xdr:to>
    <xdr:pic>
      <xdr:nvPicPr>
        <xdr:cNvPr id="19626" name="Picture 1">
          <a:extLst>
            <a:ext uri="{FF2B5EF4-FFF2-40B4-BE49-F238E27FC236}">
              <a16:creationId xmlns:a16="http://schemas.microsoft.com/office/drawing/2014/main" id="{338E3ED8-4CC3-D19D-ACC6-CDE738439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7305675" cy="566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0</xdr:row>
          <xdr:rowOff>9525</xdr:rowOff>
        </xdr:from>
        <xdr:to>
          <xdr:col>7</xdr:col>
          <xdr:colOff>47625</xdr:colOff>
          <xdr:row>1</xdr:row>
          <xdr:rowOff>38100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8882EE-2373-800D-F5CE-F305CDE43E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C45E-EB5C-45C8-963E-D9419E0422DA}">
  <dimension ref="A1"/>
  <sheetViews>
    <sheetView tabSelected="1" workbookViewId="0">
      <selection activeCell="L3" sqref="L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BA0B-5F6A-4A3E-9906-DD61B53CDF1C}">
  <sheetPr codeName="Sheet4"/>
  <dimension ref="A7"/>
  <sheetViews>
    <sheetView topLeftCell="L1" workbookViewId="0">
      <selection activeCell="S31" sqref="S31"/>
    </sheetView>
  </sheetViews>
  <sheetFormatPr defaultRowHeight="12.75" x14ac:dyDescent="0.2"/>
  <cols>
    <col min="1" max="1" width="2.28515625" style="4" customWidth="1"/>
    <col min="2" max="6" width="9.140625" style="4"/>
    <col min="7" max="7" width="2.7109375" style="4" customWidth="1"/>
    <col min="8" max="16384" width="9.140625" style="4"/>
  </cols>
  <sheetData>
    <row r="7" ht="19.5" customHeight="1" x14ac:dyDescent="0.2"/>
  </sheetData>
  <sheetProtection selectLockedCells="1" selectUnlockedCells="1"/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1E33-FE49-4F76-A57E-3CD34306FF5E}">
  <dimension ref="A1"/>
  <sheetViews>
    <sheetView topLeftCell="I1" workbookViewId="0">
      <selection activeCell="P33" sqref="P3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CD070-482C-45F1-A01A-4A1B703387DE}">
  <dimension ref="A1"/>
  <sheetViews>
    <sheetView topLeftCell="A22" workbookViewId="0">
      <selection activeCell="H39" sqref="H39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E617-3CDD-46D9-B14F-D04F4C6B7D73}">
  <sheetPr codeName="Sheet1"/>
  <dimension ref="A1:AJ303"/>
  <sheetViews>
    <sheetView zoomScale="95" zoomScaleNormal="95" workbookViewId="0"/>
  </sheetViews>
  <sheetFormatPr defaultRowHeight="12" x14ac:dyDescent="0.2"/>
  <cols>
    <col min="1" max="1" width="11.42578125" style="13" customWidth="1"/>
    <col min="2" max="2" width="8.7109375" style="13" customWidth="1"/>
    <col min="3" max="5" width="7.7109375" style="13" customWidth="1"/>
    <col min="6" max="6" width="8.85546875" style="13" customWidth="1"/>
    <col min="7" max="16" width="7.7109375" style="13" customWidth="1"/>
    <col min="17" max="17" width="9" style="13" customWidth="1"/>
    <col min="18" max="18" width="7.7109375" style="13" customWidth="1"/>
    <col min="19" max="19" width="7" style="13" customWidth="1"/>
    <col min="20" max="22" width="7" style="13" hidden="1" customWidth="1"/>
    <col min="23" max="23" width="14.85546875" style="13" hidden="1" customWidth="1"/>
    <col min="24" max="24" width="46.28515625" style="13" hidden="1" customWidth="1"/>
    <col min="25" max="29" width="7" style="13" hidden="1" customWidth="1"/>
    <col min="30" max="30" width="9.42578125" style="13" hidden="1" customWidth="1"/>
    <col min="31" max="31" width="7" style="13" hidden="1" customWidth="1"/>
    <col min="32" max="32" width="15.85546875" style="13" hidden="1" customWidth="1"/>
    <col min="33" max="33" width="7" style="13" hidden="1" customWidth="1"/>
    <col min="34" max="34" width="9" style="153" hidden="1" customWidth="1"/>
    <col min="35" max="35" width="8.85546875" style="13" hidden="1" customWidth="1"/>
    <col min="36" max="36" width="7" style="13" hidden="1" customWidth="1"/>
    <col min="37" max="37" width="7" style="13" customWidth="1"/>
    <col min="38" max="16384" width="9.140625" style="13"/>
  </cols>
  <sheetData>
    <row r="1" spans="1:13" ht="15.75" customHeight="1" x14ac:dyDescent="0.2">
      <c r="A1" s="12" t="s">
        <v>96</v>
      </c>
      <c r="B1" s="13">
        <v>1</v>
      </c>
    </row>
    <row r="2" spans="1:13" ht="15.75" customHeight="1" x14ac:dyDescent="0.2">
      <c r="A2" s="12"/>
    </row>
    <row r="3" spans="1:13" ht="15.75" customHeight="1" x14ac:dyDescent="0.2">
      <c r="A3" s="12"/>
      <c r="D3" s="67"/>
      <c r="E3" s="68"/>
      <c r="F3" s="68"/>
      <c r="G3" s="68"/>
      <c r="H3" s="68" t="s">
        <v>174</v>
      </c>
      <c r="I3" s="68"/>
      <c r="J3" s="68"/>
      <c r="K3" s="68"/>
      <c r="L3" s="69"/>
    </row>
    <row r="4" spans="1:13" x14ac:dyDescent="0.2">
      <c r="D4" s="70"/>
      <c r="E4" s="71"/>
      <c r="F4" s="71"/>
      <c r="G4" s="71"/>
      <c r="H4" s="71" t="s">
        <v>175</v>
      </c>
      <c r="I4" s="71"/>
      <c r="J4" s="71"/>
      <c r="K4" s="71"/>
      <c r="L4" s="72"/>
    </row>
    <row r="5" spans="1:13" x14ac:dyDescent="0.2">
      <c r="A5" s="12" t="s">
        <v>29</v>
      </c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</row>
    <row r="6" spans="1:13" x14ac:dyDescent="0.2">
      <c r="A6" s="12" t="s">
        <v>0</v>
      </c>
      <c r="B6" s="15" t="s">
        <v>77</v>
      </c>
      <c r="C6" s="16" t="s">
        <v>16</v>
      </c>
      <c r="D6" s="17" t="s">
        <v>16</v>
      </c>
      <c r="E6" s="1" t="s">
        <v>39</v>
      </c>
      <c r="F6" s="2" t="s">
        <v>43</v>
      </c>
      <c r="G6" s="2" t="s">
        <v>47</v>
      </c>
      <c r="H6" s="2" t="s">
        <v>51</v>
      </c>
      <c r="I6" s="2" t="s">
        <v>55</v>
      </c>
      <c r="J6" s="2" t="s">
        <v>59</v>
      </c>
      <c r="K6" s="2" t="s">
        <v>63</v>
      </c>
      <c r="L6" s="2" t="s">
        <v>67</v>
      </c>
      <c r="M6" s="2" t="s">
        <v>71</v>
      </c>
    </row>
    <row r="7" spans="1:13" x14ac:dyDescent="0.2">
      <c r="A7" s="12" t="s">
        <v>1</v>
      </c>
      <c r="B7" s="18" t="s">
        <v>77</v>
      </c>
      <c r="C7" s="19" t="s">
        <v>17</v>
      </c>
      <c r="D7" s="20" t="s">
        <v>17</v>
      </c>
      <c r="E7" s="21" t="s">
        <v>172</v>
      </c>
      <c r="F7" s="21" t="s">
        <v>172</v>
      </c>
      <c r="G7" s="21" t="s">
        <v>172</v>
      </c>
      <c r="H7" s="21" t="s">
        <v>172</v>
      </c>
      <c r="I7" s="21" t="s">
        <v>172</v>
      </c>
      <c r="J7" s="21" t="s">
        <v>172</v>
      </c>
      <c r="K7" s="21" t="s">
        <v>172</v>
      </c>
      <c r="L7" s="21" t="s">
        <v>172</v>
      </c>
      <c r="M7" s="21" t="s">
        <v>172</v>
      </c>
    </row>
    <row r="8" spans="1:13" x14ac:dyDescent="0.2">
      <c r="A8" s="12" t="s">
        <v>2</v>
      </c>
      <c r="B8" s="22" t="s">
        <v>14</v>
      </c>
      <c r="C8" s="19" t="s">
        <v>18</v>
      </c>
      <c r="D8" s="20" t="s">
        <v>18</v>
      </c>
      <c r="E8" s="1" t="s">
        <v>40</v>
      </c>
      <c r="F8" s="2" t="s">
        <v>44</v>
      </c>
      <c r="G8" s="2" t="s">
        <v>48</v>
      </c>
      <c r="H8" s="2" t="s">
        <v>52</v>
      </c>
      <c r="I8" s="2" t="s">
        <v>56</v>
      </c>
      <c r="J8" s="2" t="s">
        <v>60</v>
      </c>
      <c r="K8" s="2" t="s">
        <v>64</v>
      </c>
      <c r="L8" s="2" t="s">
        <v>68</v>
      </c>
      <c r="M8" s="2" t="s">
        <v>72</v>
      </c>
    </row>
    <row r="9" spans="1:13" x14ac:dyDescent="0.2">
      <c r="A9" s="12" t="s">
        <v>3</v>
      </c>
      <c r="B9" s="23" t="s">
        <v>14</v>
      </c>
      <c r="C9" s="19" t="s">
        <v>19</v>
      </c>
      <c r="D9" s="20" t="s">
        <v>19</v>
      </c>
      <c r="E9" s="21" t="s">
        <v>172</v>
      </c>
      <c r="F9" s="21" t="s">
        <v>172</v>
      </c>
      <c r="G9" s="21" t="s">
        <v>172</v>
      </c>
      <c r="H9" s="21" t="s">
        <v>172</v>
      </c>
      <c r="I9" s="21" t="s">
        <v>172</v>
      </c>
      <c r="J9" s="21" t="s">
        <v>172</v>
      </c>
      <c r="K9" s="21" t="s">
        <v>172</v>
      </c>
      <c r="L9" s="21" t="s">
        <v>172</v>
      </c>
      <c r="M9" s="21" t="s">
        <v>172</v>
      </c>
    </row>
    <row r="10" spans="1:13" x14ac:dyDescent="0.2">
      <c r="A10" s="12" t="s">
        <v>4</v>
      </c>
      <c r="B10" s="24" t="s">
        <v>15</v>
      </c>
      <c r="C10" s="19" t="s">
        <v>20</v>
      </c>
      <c r="D10" s="20" t="s">
        <v>20</v>
      </c>
      <c r="E10" s="1" t="s">
        <v>41</v>
      </c>
      <c r="F10" s="2" t="s">
        <v>45</v>
      </c>
      <c r="G10" s="2" t="s">
        <v>49</v>
      </c>
      <c r="H10" s="2" t="s">
        <v>53</v>
      </c>
      <c r="I10" s="2" t="s">
        <v>57</v>
      </c>
      <c r="J10" s="2" t="s">
        <v>61</v>
      </c>
      <c r="K10" s="2" t="s">
        <v>65</v>
      </c>
      <c r="L10" s="2" t="s">
        <v>69</v>
      </c>
      <c r="M10" s="3" t="s">
        <v>75</v>
      </c>
    </row>
    <row r="11" spans="1:13" x14ac:dyDescent="0.2">
      <c r="A11" s="12" t="s">
        <v>5</v>
      </c>
      <c r="B11" s="25" t="s">
        <v>15</v>
      </c>
      <c r="C11" s="19" t="s">
        <v>21</v>
      </c>
      <c r="D11" s="20" t="s">
        <v>21</v>
      </c>
      <c r="E11" s="21" t="s">
        <v>172</v>
      </c>
      <c r="F11" s="21" t="s">
        <v>172</v>
      </c>
      <c r="G11" s="21" t="s">
        <v>172</v>
      </c>
      <c r="H11" s="21" t="s">
        <v>172</v>
      </c>
      <c r="I11" s="21" t="s">
        <v>172</v>
      </c>
      <c r="J11" s="21" t="s">
        <v>172</v>
      </c>
      <c r="K11" s="21" t="s">
        <v>172</v>
      </c>
      <c r="L11" s="21" t="s">
        <v>172</v>
      </c>
      <c r="M11" s="26" t="s">
        <v>173</v>
      </c>
    </row>
    <row r="12" spans="1:13" x14ac:dyDescent="0.2">
      <c r="A12" s="12" t="s">
        <v>6</v>
      </c>
      <c r="B12" s="27" t="s">
        <v>15</v>
      </c>
      <c r="C12" s="20" t="s">
        <v>22</v>
      </c>
      <c r="D12" s="20" t="s">
        <v>22</v>
      </c>
      <c r="E12" s="1" t="s">
        <v>42</v>
      </c>
      <c r="F12" s="2" t="s">
        <v>46</v>
      </c>
      <c r="G12" s="2" t="s">
        <v>50</v>
      </c>
      <c r="H12" s="2" t="s">
        <v>54</v>
      </c>
      <c r="I12" s="2" t="s">
        <v>58</v>
      </c>
      <c r="J12" s="2" t="s">
        <v>62</v>
      </c>
      <c r="K12" s="2" t="s">
        <v>66</v>
      </c>
      <c r="L12" s="2" t="s">
        <v>70</v>
      </c>
      <c r="M12" s="3" t="s">
        <v>76</v>
      </c>
    </row>
    <row r="13" spans="1:13" x14ac:dyDescent="0.2">
      <c r="A13" s="12" t="s">
        <v>7</v>
      </c>
      <c r="B13" s="28" t="s">
        <v>13</v>
      </c>
      <c r="C13" s="29" t="s">
        <v>23</v>
      </c>
      <c r="D13" s="29" t="s">
        <v>23</v>
      </c>
      <c r="E13" s="21" t="s">
        <v>172</v>
      </c>
      <c r="F13" s="21" t="s">
        <v>172</v>
      </c>
      <c r="G13" s="21" t="s">
        <v>172</v>
      </c>
      <c r="H13" s="21" t="s">
        <v>172</v>
      </c>
      <c r="I13" s="21" t="s">
        <v>172</v>
      </c>
      <c r="J13" s="21" t="s">
        <v>172</v>
      </c>
      <c r="K13" s="21" t="s">
        <v>172</v>
      </c>
      <c r="L13" s="21" t="s">
        <v>172</v>
      </c>
      <c r="M13" s="26" t="s">
        <v>173</v>
      </c>
    </row>
    <row r="15" spans="1:13" x14ac:dyDescent="0.2">
      <c r="A15" s="12" t="s">
        <v>30</v>
      </c>
      <c r="B15" s="14">
        <v>1</v>
      </c>
      <c r="C15" s="14">
        <v>2</v>
      </c>
      <c r="D15" s="14">
        <v>3</v>
      </c>
      <c r="E15" s="14">
        <v>4</v>
      </c>
      <c r="F15" s="14">
        <v>5</v>
      </c>
      <c r="G15" s="14">
        <v>6</v>
      </c>
      <c r="H15" s="14">
        <v>7</v>
      </c>
      <c r="I15" s="14">
        <v>8</v>
      </c>
      <c r="J15" s="14">
        <v>9</v>
      </c>
      <c r="K15" s="14">
        <v>10</v>
      </c>
      <c r="L15" s="14">
        <v>11</v>
      </c>
      <c r="M15" s="14">
        <v>12</v>
      </c>
    </row>
    <row r="16" spans="1:13" x14ac:dyDescent="0.2">
      <c r="A16" s="12" t="s">
        <v>0</v>
      </c>
      <c r="B16" s="73">
        <v>5.7169999999999999E-3</v>
      </c>
      <c r="C16" s="74">
        <v>4.1317E-2</v>
      </c>
      <c r="D16" s="75">
        <v>5.3717000000000001E-2</v>
      </c>
      <c r="E16" s="76">
        <v>0.24191699999999999</v>
      </c>
      <c r="F16" s="76">
        <v>0.251417</v>
      </c>
      <c r="G16" s="76">
        <v>0.25521700000000003</v>
      </c>
      <c r="H16" s="77">
        <v>0.15636700000000001</v>
      </c>
      <c r="I16" s="76">
        <v>6.2566999999999998E-2</v>
      </c>
      <c r="J16" s="76">
        <v>8.4766999999999995E-2</v>
      </c>
      <c r="K16" s="76">
        <v>0.122917</v>
      </c>
      <c r="L16" s="78">
        <v>0.120117</v>
      </c>
      <c r="M16" s="76">
        <v>0.164467</v>
      </c>
    </row>
    <row r="17" spans="1:15" x14ac:dyDescent="0.2">
      <c r="A17" s="12" t="s">
        <v>1</v>
      </c>
      <c r="B17" s="79">
        <v>4.483E-3</v>
      </c>
      <c r="C17" s="80">
        <v>8.3717E-2</v>
      </c>
      <c r="D17" s="81">
        <v>8.9117000000000002E-2</v>
      </c>
      <c r="E17" s="82">
        <v>0.23741699999999999</v>
      </c>
      <c r="F17" s="82">
        <v>0.23771700000000001</v>
      </c>
      <c r="G17" s="82">
        <v>0.247917</v>
      </c>
      <c r="H17" s="83">
        <v>0.155167</v>
      </c>
      <c r="I17" s="82">
        <v>6.5567E-2</v>
      </c>
      <c r="J17" s="82">
        <v>8.5266999999999996E-2</v>
      </c>
      <c r="K17" s="82">
        <v>0.128717</v>
      </c>
      <c r="L17" s="84">
        <v>0.13681699999999999</v>
      </c>
      <c r="M17" s="82">
        <v>0.16136700000000001</v>
      </c>
    </row>
    <row r="18" spans="1:15" x14ac:dyDescent="0.2">
      <c r="A18" s="12" t="s">
        <v>2</v>
      </c>
      <c r="B18" s="85">
        <v>1.9782999999999999E-2</v>
      </c>
      <c r="C18" s="80">
        <v>0.13581699999999999</v>
      </c>
      <c r="D18" s="81">
        <v>0.12521699999999999</v>
      </c>
      <c r="E18" s="76">
        <v>0.33641700000000002</v>
      </c>
      <c r="F18" s="76">
        <v>0.304817</v>
      </c>
      <c r="G18" s="76">
        <v>0.32971699999999998</v>
      </c>
      <c r="H18" s="77">
        <v>0.118267</v>
      </c>
      <c r="I18" s="76">
        <v>0.14906700000000001</v>
      </c>
      <c r="J18" s="76">
        <v>0.120467</v>
      </c>
      <c r="K18" s="84">
        <v>0.17741699999999999</v>
      </c>
      <c r="L18" s="76">
        <v>0.170317</v>
      </c>
      <c r="M18" s="86">
        <v>8.5567000000000004E-2</v>
      </c>
    </row>
    <row r="19" spans="1:15" x14ac:dyDescent="0.2">
      <c r="A19" s="12" t="s">
        <v>3</v>
      </c>
      <c r="B19" s="87">
        <v>2.0483000000000001E-2</v>
      </c>
      <c r="C19" s="80">
        <v>0.184617</v>
      </c>
      <c r="D19" s="81">
        <v>0.200517</v>
      </c>
      <c r="E19" s="82">
        <v>0.33251700000000001</v>
      </c>
      <c r="F19" s="82">
        <v>0.30801699999999999</v>
      </c>
      <c r="G19" s="82">
        <v>0.32921699999999998</v>
      </c>
      <c r="H19" s="83">
        <v>0.117567</v>
      </c>
      <c r="I19" s="82">
        <v>0.148867</v>
      </c>
      <c r="J19" s="82">
        <v>0.12626699999999999</v>
      </c>
      <c r="K19" s="84">
        <v>0.19361700000000001</v>
      </c>
      <c r="L19" s="82">
        <v>0.180617</v>
      </c>
      <c r="M19" s="86">
        <v>8.5067000000000004E-2</v>
      </c>
      <c r="O19" s="12"/>
    </row>
    <row r="20" spans="1:15" x14ac:dyDescent="0.2">
      <c r="A20" s="12" t="s">
        <v>4</v>
      </c>
      <c r="B20" s="88">
        <v>0.440917</v>
      </c>
      <c r="C20" s="80">
        <v>0.25661699999999998</v>
      </c>
      <c r="D20" s="81">
        <v>0.23621700000000001</v>
      </c>
      <c r="E20" s="76">
        <v>0.13841700000000001</v>
      </c>
      <c r="F20" s="76">
        <v>0.12611700000000001</v>
      </c>
      <c r="G20" s="76">
        <v>0.105367</v>
      </c>
      <c r="H20" s="77">
        <v>0.117567</v>
      </c>
      <c r="I20" s="76">
        <v>0.148867</v>
      </c>
      <c r="J20" s="76">
        <v>0.23741699999999999</v>
      </c>
      <c r="K20" s="76">
        <v>0.23771700000000001</v>
      </c>
      <c r="L20" s="84">
        <v>0.247917</v>
      </c>
      <c r="M20" s="89">
        <v>0.165217</v>
      </c>
    </row>
    <row r="21" spans="1:15" x14ac:dyDescent="0.2">
      <c r="A21" s="12" t="s">
        <v>5</v>
      </c>
      <c r="B21" s="90">
        <v>0.45751700000000001</v>
      </c>
      <c r="C21" s="80">
        <v>0.328517</v>
      </c>
      <c r="D21" s="81">
        <v>0.35411700000000002</v>
      </c>
      <c r="E21" s="82">
        <v>0.122917</v>
      </c>
      <c r="F21" s="82">
        <v>0.120117</v>
      </c>
      <c r="G21" s="82">
        <v>0.10556699999999999</v>
      </c>
      <c r="H21" s="91">
        <v>0.120167</v>
      </c>
      <c r="I21" s="82">
        <v>0.14896699999999999</v>
      </c>
      <c r="J21" s="82">
        <v>0.25101699999999999</v>
      </c>
      <c r="K21" s="82">
        <v>0.23841699999999999</v>
      </c>
      <c r="L21" s="84">
        <v>0.245917</v>
      </c>
      <c r="M21" s="92">
        <v>0.17041700000000001</v>
      </c>
    </row>
    <row r="22" spans="1:15" x14ac:dyDescent="0.2">
      <c r="A22" s="12" t="s">
        <v>6</v>
      </c>
      <c r="B22" s="90">
        <v>0.48721700000000001</v>
      </c>
      <c r="C22" s="80">
        <v>0.37901699999999999</v>
      </c>
      <c r="D22" s="81">
        <v>0.37931700000000002</v>
      </c>
      <c r="E22" s="76">
        <v>0.19541700000000001</v>
      </c>
      <c r="F22" s="76">
        <v>0.16731699999999999</v>
      </c>
      <c r="G22" s="77">
        <v>0.22140000000000001</v>
      </c>
      <c r="H22" s="76">
        <v>0.1186</v>
      </c>
      <c r="I22" s="93">
        <v>6.5100000000000005E-2</v>
      </c>
      <c r="J22" s="76">
        <v>0.33251700000000001</v>
      </c>
      <c r="K22" s="84">
        <v>0.30801699999999999</v>
      </c>
      <c r="L22" s="77">
        <v>0.20219999999999999</v>
      </c>
      <c r="M22" s="89">
        <v>0.28731699999999999</v>
      </c>
    </row>
    <row r="23" spans="1:15" x14ac:dyDescent="0.2">
      <c r="A23" s="12" t="s">
        <v>7</v>
      </c>
      <c r="B23" s="94">
        <v>0.41161700000000001</v>
      </c>
      <c r="C23" s="95">
        <v>0.40341700000000003</v>
      </c>
      <c r="D23" s="96">
        <v>0.39991700000000002</v>
      </c>
      <c r="E23" s="82">
        <v>0.17741699999999999</v>
      </c>
      <c r="F23" s="82">
        <v>0.170317</v>
      </c>
      <c r="G23" s="83">
        <v>0.2402</v>
      </c>
      <c r="H23" s="82">
        <v>0.12379999999999999</v>
      </c>
      <c r="I23" s="97">
        <v>0.13500000000000001</v>
      </c>
      <c r="J23" s="82">
        <v>0.32941700000000002</v>
      </c>
      <c r="K23" s="98">
        <v>0.312917</v>
      </c>
      <c r="L23" s="83">
        <v>0.221</v>
      </c>
      <c r="M23" s="99">
        <v>0.31231700000000001</v>
      </c>
    </row>
    <row r="24" spans="1:15" x14ac:dyDescent="0.2">
      <c r="A24" s="12" t="s">
        <v>32</v>
      </c>
      <c r="B24" s="13">
        <f>AVERAGE(B16:B17)</f>
        <v>5.1000000000000004E-3</v>
      </c>
    </row>
    <row r="26" spans="1:15" x14ac:dyDescent="0.2">
      <c r="A26" s="12" t="s">
        <v>31</v>
      </c>
      <c r="B26" s="14">
        <v>1</v>
      </c>
      <c r="C26" s="14">
        <v>2</v>
      </c>
      <c r="D26" s="14">
        <v>3</v>
      </c>
      <c r="E26" s="14">
        <v>4</v>
      </c>
      <c r="F26" s="14">
        <v>5</v>
      </c>
      <c r="G26" s="14">
        <v>6</v>
      </c>
      <c r="H26" s="14">
        <v>7</v>
      </c>
      <c r="I26" s="14">
        <v>8</v>
      </c>
      <c r="J26" s="14">
        <v>9</v>
      </c>
      <c r="K26" s="14">
        <v>10</v>
      </c>
      <c r="L26" s="14">
        <v>11</v>
      </c>
      <c r="M26" s="14">
        <v>12</v>
      </c>
      <c r="O26" s="12"/>
    </row>
    <row r="27" spans="1:15" x14ac:dyDescent="0.2">
      <c r="A27" s="12" t="s">
        <v>0</v>
      </c>
      <c r="B27" s="100">
        <f t="shared" ref="B27:B34" si="0">B16-$B$24</f>
        <v>6.1699999999999949E-4</v>
      </c>
      <c r="C27" s="101">
        <f t="shared" ref="C27:J27" si="1">C16-$B$24</f>
        <v>3.6216999999999999E-2</v>
      </c>
      <c r="D27" s="102">
        <f t="shared" si="1"/>
        <v>4.8617E-2</v>
      </c>
      <c r="E27" s="103">
        <f t="shared" si="1"/>
        <v>0.236817</v>
      </c>
      <c r="F27" s="104">
        <f t="shared" si="1"/>
        <v>0.24631700000000001</v>
      </c>
      <c r="G27" s="103">
        <f t="shared" si="1"/>
        <v>0.25011700000000003</v>
      </c>
      <c r="H27" s="104">
        <f t="shared" si="1"/>
        <v>0.15126700000000001</v>
      </c>
      <c r="I27" s="103">
        <f t="shared" si="1"/>
        <v>5.7466999999999997E-2</v>
      </c>
      <c r="J27" s="104">
        <f t="shared" si="1"/>
        <v>7.9666999999999988E-2</v>
      </c>
      <c r="K27" s="103">
        <f>K16-$B$24</f>
        <v>0.11781700000000001</v>
      </c>
      <c r="L27" s="104">
        <f>L16-$B$24</f>
        <v>0.11501700000000001</v>
      </c>
      <c r="M27" s="103">
        <f>M16-$B$24</f>
        <v>0.15936700000000001</v>
      </c>
    </row>
    <row r="28" spans="1:15" x14ac:dyDescent="0.2">
      <c r="A28" s="12" t="s">
        <v>1</v>
      </c>
      <c r="B28" s="105">
        <f t="shared" si="0"/>
        <v>-6.1700000000000036E-4</v>
      </c>
      <c r="C28" s="106">
        <f t="shared" ref="C28:M28" si="2">C17-$B$24</f>
        <v>7.8616999999999992E-2</v>
      </c>
      <c r="D28" s="107">
        <f t="shared" si="2"/>
        <v>8.4017000000000008E-2</v>
      </c>
      <c r="E28" s="108">
        <f t="shared" si="2"/>
        <v>0.232317</v>
      </c>
      <c r="F28" s="109">
        <f t="shared" si="2"/>
        <v>0.23261700000000002</v>
      </c>
      <c r="G28" s="108">
        <f t="shared" si="2"/>
        <v>0.24281700000000001</v>
      </c>
      <c r="H28" s="109">
        <f t="shared" si="2"/>
        <v>0.15006700000000001</v>
      </c>
      <c r="I28" s="108">
        <f t="shared" si="2"/>
        <v>6.0467E-2</v>
      </c>
      <c r="J28" s="109">
        <f t="shared" si="2"/>
        <v>8.0166999999999988E-2</v>
      </c>
      <c r="K28" s="108">
        <f t="shared" si="2"/>
        <v>0.123617</v>
      </c>
      <c r="L28" s="109">
        <f t="shared" si="2"/>
        <v>0.131717</v>
      </c>
      <c r="M28" s="108">
        <f t="shared" si="2"/>
        <v>0.15626700000000002</v>
      </c>
    </row>
    <row r="29" spans="1:15" x14ac:dyDescent="0.2">
      <c r="A29" s="12" t="s">
        <v>2</v>
      </c>
      <c r="B29" s="110">
        <f t="shared" si="0"/>
        <v>1.4682999999999998E-2</v>
      </c>
      <c r="C29" s="106">
        <f t="shared" ref="C29:M29" si="3">C18-$B$24</f>
        <v>0.130717</v>
      </c>
      <c r="D29" s="107">
        <f t="shared" si="3"/>
        <v>0.120117</v>
      </c>
      <c r="E29" s="111">
        <f t="shared" si="3"/>
        <v>0.33131700000000003</v>
      </c>
      <c r="F29" s="103">
        <f t="shared" si="3"/>
        <v>0.29971700000000001</v>
      </c>
      <c r="G29" s="109">
        <f t="shared" si="3"/>
        <v>0.32461699999999999</v>
      </c>
      <c r="H29" s="103">
        <f t="shared" si="3"/>
        <v>0.11316699999999999</v>
      </c>
      <c r="I29" s="109">
        <f t="shared" si="3"/>
        <v>0.14396700000000001</v>
      </c>
      <c r="J29" s="103">
        <f t="shared" si="3"/>
        <v>0.115367</v>
      </c>
      <c r="K29" s="109">
        <f t="shared" si="3"/>
        <v>0.172317</v>
      </c>
      <c r="L29" s="103">
        <f t="shared" si="3"/>
        <v>0.165217</v>
      </c>
      <c r="M29" s="112">
        <f t="shared" si="3"/>
        <v>8.0467000000000011E-2</v>
      </c>
    </row>
    <row r="30" spans="1:15" x14ac:dyDescent="0.2">
      <c r="A30" s="12" t="s">
        <v>3</v>
      </c>
      <c r="B30" s="113">
        <f t="shared" si="0"/>
        <v>1.5383000000000001E-2</v>
      </c>
      <c r="C30" s="106">
        <f t="shared" ref="C30:M30" si="4">C19-$B$24</f>
        <v>0.17951700000000001</v>
      </c>
      <c r="D30" s="107">
        <f t="shared" si="4"/>
        <v>0.19541700000000001</v>
      </c>
      <c r="E30" s="111">
        <f t="shared" si="4"/>
        <v>0.32741700000000001</v>
      </c>
      <c r="F30" s="108">
        <f t="shared" si="4"/>
        <v>0.30291699999999999</v>
      </c>
      <c r="G30" s="109">
        <f t="shared" si="4"/>
        <v>0.32411699999999999</v>
      </c>
      <c r="H30" s="108">
        <f t="shared" si="4"/>
        <v>0.11246700000000001</v>
      </c>
      <c r="I30" s="109">
        <f t="shared" si="4"/>
        <v>0.14376700000000001</v>
      </c>
      <c r="J30" s="108">
        <f t="shared" si="4"/>
        <v>0.121167</v>
      </c>
      <c r="K30" s="109">
        <f t="shared" si="4"/>
        <v>0.18851700000000002</v>
      </c>
      <c r="L30" s="108">
        <f t="shared" si="4"/>
        <v>0.17551700000000001</v>
      </c>
      <c r="M30" s="112">
        <f t="shared" si="4"/>
        <v>7.996700000000001E-2</v>
      </c>
    </row>
    <row r="31" spans="1:15" x14ac:dyDescent="0.2">
      <c r="A31" s="12" t="s">
        <v>4</v>
      </c>
      <c r="B31" s="114">
        <f t="shared" si="0"/>
        <v>0.43581700000000001</v>
      </c>
      <c r="C31" s="106">
        <f t="shared" ref="C31:M31" si="5">C20-$B$24</f>
        <v>0.25151699999999999</v>
      </c>
      <c r="D31" s="107">
        <f t="shared" si="5"/>
        <v>0.23111700000000002</v>
      </c>
      <c r="E31" s="103">
        <f t="shared" si="5"/>
        <v>0.13331700000000002</v>
      </c>
      <c r="F31" s="109">
        <f t="shared" si="5"/>
        <v>0.12101700000000001</v>
      </c>
      <c r="G31" s="103">
        <f t="shared" si="5"/>
        <v>0.100267</v>
      </c>
      <c r="H31" s="109">
        <f t="shared" si="5"/>
        <v>0.11246700000000001</v>
      </c>
      <c r="I31" s="103">
        <f t="shared" si="5"/>
        <v>0.14376700000000001</v>
      </c>
      <c r="J31" s="109">
        <f t="shared" si="5"/>
        <v>0.232317</v>
      </c>
      <c r="K31" s="103">
        <f t="shared" si="5"/>
        <v>0.23261700000000002</v>
      </c>
      <c r="L31" s="109">
        <f t="shared" si="5"/>
        <v>0.24281700000000001</v>
      </c>
      <c r="M31" s="115">
        <f t="shared" si="5"/>
        <v>0.16011700000000001</v>
      </c>
    </row>
    <row r="32" spans="1:15" x14ac:dyDescent="0.2">
      <c r="A32" s="12" t="s">
        <v>5</v>
      </c>
      <c r="B32" s="116">
        <f t="shared" si="0"/>
        <v>0.45241700000000001</v>
      </c>
      <c r="C32" s="106">
        <f t="shared" ref="C32:M32" si="6">C21-$B$24</f>
        <v>0.32341700000000001</v>
      </c>
      <c r="D32" s="107">
        <f t="shared" si="6"/>
        <v>0.34901700000000002</v>
      </c>
      <c r="E32" s="108">
        <f t="shared" si="6"/>
        <v>0.11781700000000001</v>
      </c>
      <c r="F32" s="109">
        <f t="shared" si="6"/>
        <v>0.11501700000000001</v>
      </c>
      <c r="G32" s="108">
        <f t="shared" si="6"/>
        <v>0.100467</v>
      </c>
      <c r="H32" s="109">
        <f t="shared" si="6"/>
        <v>0.115067</v>
      </c>
      <c r="I32" s="108">
        <f t="shared" si="6"/>
        <v>0.14386699999999999</v>
      </c>
      <c r="J32" s="109">
        <f t="shared" si="6"/>
        <v>0.245917</v>
      </c>
      <c r="K32" s="108">
        <f t="shared" si="6"/>
        <v>0.233317</v>
      </c>
      <c r="L32" s="109">
        <f t="shared" si="6"/>
        <v>0.240817</v>
      </c>
      <c r="M32" s="117">
        <f t="shared" si="6"/>
        <v>0.16531700000000002</v>
      </c>
    </row>
    <row r="33" spans="1:13" x14ac:dyDescent="0.2">
      <c r="A33" s="12" t="s">
        <v>6</v>
      </c>
      <c r="B33" s="116">
        <f t="shared" si="0"/>
        <v>0.48211700000000002</v>
      </c>
      <c r="C33" s="106">
        <f t="shared" ref="C33:M33" si="7">C22-$B$24</f>
        <v>0.373917</v>
      </c>
      <c r="D33" s="107">
        <f t="shared" si="7"/>
        <v>0.37421700000000002</v>
      </c>
      <c r="E33" s="111">
        <f t="shared" si="7"/>
        <v>0.19031700000000001</v>
      </c>
      <c r="F33" s="103">
        <f t="shared" si="7"/>
        <v>0.162217</v>
      </c>
      <c r="G33" s="109">
        <f t="shared" si="7"/>
        <v>0.21630000000000002</v>
      </c>
      <c r="H33" s="103">
        <f t="shared" si="7"/>
        <v>0.11349999999999999</v>
      </c>
      <c r="I33" s="109">
        <f t="shared" si="7"/>
        <v>6.0000000000000005E-2</v>
      </c>
      <c r="J33" s="103">
        <f t="shared" si="7"/>
        <v>0.32741700000000001</v>
      </c>
      <c r="K33" s="109">
        <f t="shared" si="7"/>
        <v>0.30291699999999999</v>
      </c>
      <c r="L33" s="103">
        <f t="shared" si="7"/>
        <v>0.1971</v>
      </c>
      <c r="M33" s="118">
        <f t="shared" si="7"/>
        <v>0.282217</v>
      </c>
    </row>
    <row r="34" spans="1:13" x14ac:dyDescent="0.2">
      <c r="A34" s="12" t="s">
        <v>7</v>
      </c>
      <c r="B34" s="119">
        <f t="shared" si="0"/>
        <v>0.40651700000000002</v>
      </c>
      <c r="C34" s="120">
        <f t="shared" ref="C34:M34" si="8">C23-$B$24</f>
        <v>0.39831700000000003</v>
      </c>
      <c r="D34" s="121">
        <f t="shared" si="8"/>
        <v>0.39481700000000003</v>
      </c>
      <c r="E34" s="122">
        <f t="shared" si="8"/>
        <v>0.172317</v>
      </c>
      <c r="F34" s="108">
        <f t="shared" si="8"/>
        <v>0.165217</v>
      </c>
      <c r="G34" s="123">
        <f t="shared" si="8"/>
        <v>0.2351</v>
      </c>
      <c r="H34" s="108">
        <f t="shared" si="8"/>
        <v>0.1187</v>
      </c>
      <c r="I34" s="123">
        <f t="shared" si="8"/>
        <v>0.12990000000000002</v>
      </c>
      <c r="J34" s="108">
        <f t="shared" si="8"/>
        <v>0.32431700000000002</v>
      </c>
      <c r="K34" s="123">
        <f t="shared" si="8"/>
        <v>0.30781700000000001</v>
      </c>
      <c r="L34" s="108">
        <f t="shared" si="8"/>
        <v>0.21590000000000001</v>
      </c>
      <c r="M34" s="124">
        <f t="shared" si="8"/>
        <v>0.30721700000000002</v>
      </c>
    </row>
    <row r="35" spans="1:13" x14ac:dyDescent="0.2">
      <c r="A35" s="12" t="s">
        <v>8</v>
      </c>
      <c r="B35" s="13">
        <f>AVERAGE(B27:B28)</f>
        <v>-4.3368086899420177E-19</v>
      </c>
    </row>
    <row r="36" spans="1:13" x14ac:dyDescent="0.2">
      <c r="A36" s="12" t="s">
        <v>9</v>
      </c>
      <c r="B36" s="13">
        <f>$B$34</f>
        <v>0.40651700000000002</v>
      </c>
    </row>
    <row r="37" spans="1:13" x14ac:dyDescent="0.2">
      <c r="A37" s="12" t="s">
        <v>10</v>
      </c>
      <c r="B37" s="13">
        <f>AVERAGE(B29:B30)-$B$35</f>
        <v>1.5032999999999999E-2</v>
      </c>
    </row>
    <row r="38" spans="1:13" x14ac:dyDescent="0.2">
      <c r="A38" s="12" t="s">
        <v>11</v>
      </c>
      <c r="B38" s="13">
        <f>AVERAGE(B31:B33)-B37-B35</f>
        <v>0.44175066666666662</v>
      </c>
    </row>
    <row r="40" spans="1:13" x14ac:dyDescent="0.2">
      <c r="A40" s="12" t="s">
        <v>25</v>
      </c>
      <c r="B40" s="14">
        <v>1</v>
      </c>
      <c r="C40" s="14">
        <v>2</v>
      </c>
      <c r="D40" s="14">
        <v>3</v>
      </c>
      <c r="E40" s="14">
        <v>4</v>
      </c>
      <c r="F40" s="14">
        <v>5</v>
      </c>
      <c r="G40" s="14">
        <v>6</v>
      </c>
      <c r="H40" s="14">
        <v>7</v>
      </c>
      <c r="I40" s="14">
        <v>8</v>
      </c>
      <c r="J40" s="14">
        <v>9</v>
      </c>
      <c r="K40" s="14">
        <v>10</v>
      </c>
      <c r="L40" s="14">
        <v>11</v>
      </c>
      <c r="M40" s="14">
        <v>12</v>
      </c>
    </row>
    <row r="41" spans="1:13" x14ac:dyDescent="0.2">
      <c r="A41" s="12" t="s">
        <v>0</v>
      </c>
      <c r="B41" s="125">
        <f t="shared" ref="B41:B48" si="9">(B27-$B$37-$B$35)/$B$38</f>
        <v>-3.2633793421930325E-2</v>
      </c>
      <c r="C41" s="74">
        <f t="shared" ref="C41:M41" si="10">(C27-$B$37-$B$35)/$B$38</f>
        <v>4.7954653152758882E-2</v>
      </c>
      <c r="D41" s="75">
        <f t="shared" si="10"/>
        <v>7.6024786229336019E-2</v>
      </c>
      <c r="E41" s="103">
        <f t="shared" si="10"/>
        <v>0.5020569672786761</v>
      </c>
      <c r="F41" s="104">
        <f t="shared" si="10"/>
        <v>0.52356231116798924</v>
      </c>
      <c r="G41" s="103">
        <f t="shared" si="10"/>
        <v>0.5321644487237146</v>
      </c>
      <c r="H41" s="104">
        <f t="shared" si="10"/>
        <v>0.3083956862543879</v>
      </c>
      <c r="I41" s="103">
        <f t="shared" si="10"/>
        <v>9.6058711852538239E-2</v>
      </c>
      <c r="J41" s="104">
        <f t="shared" si="10"/>
        <v>0.14631330494124889</v>
      </c>
      <c r="K41" s="103">
        <f t="shared" si="10"/>
        <v>0.23267423855991165</v>
      </c>
      <c r="L41" s="104">
        <f t="shared" si="10"/>
        <v>0.2263358214135878</v>
      </c>
      <c r="M41" s="103">
        <f t="shared" si="10"/>
        <v>0.32673182157053909</v>
      </c>
    </row>
    <row r="42" spans="1:13" x14ac:dyDescent="0.2">
      <c r="A42" s="12" t="s">
        <v>1</v>
      </c>
      <c r="B42" s="126">
        <f t="shared" si="9"/>
        <v>-3.5427224407131627E-2</v>
      </c>
      <c r="C42" s="80">
        <f t="shared" ref="C42:D48" si="11">(C28-$B$37-$B$35)/$B$38</f>
        <v>0.14393639851137743</v>
      </c>
      <c r="D42" s="81">
        <f t="shared" si="11"/>
        <v>0.15616048872214494</v>
      </c>
      <c r="E42" s="108">
        <f t="shared" ref="E42:M42" si="12">(E28-$B$37-$B$35)/$B$38</f>
        <v>0.49187022543636988</v>
      </c>
      <c r="F42" s="109">
        <f t="shared" si="12"/>
        <v>0.49254934155919033</v>
      </c>
      <c r="G42" s="108">
        <f t="shared" si="12"/>
        <v>0.51563928973508444</v>
      </c>
      <c r="H42" s="109">
        <f t="shared" si="12"/>
        <v>0.30567922176310625</v>
      </c>
      <c r="I42" s="108">
        <f t="shared" si="12"/>
        <v>0.10284987308074239</v>
      </c>
      <c r="J42" s="109">
        <f t="shared" si="12"/>
        <v>0.14744516514594957</v>
      </c>
      <c r="K42" s="108">
        <f t="shared" si="12"/>
        <v>0.24580381693443967</v>
      </c>
      <c r="L42" s="109">
        <f t="shared" si="12"/>
        <v>0.26413995225059084</v>
      </c>
      <c r="M42" s="108">
        <f t="shared" si="12"/>
        <v>0.31971428830139487</v>
      </c>
    </row>
    <row r="43" spans="1:13" x14ac:dyDescent="0.2">
      <c r="A43" s="12" t="s">
        <v>2</v>
      </c>
      <c r="B43" s="127">
        <f t="shared" si="9"/>
        <v>-7.9230214329048575E-4</v>
      </c>
      <c r="C43" s="80">
        <f t="shared" si="11"/>
        <v>0.26187623184118947</v>
      </c>
      <c r="D43" s="81">
        <f t="shared" si="11"/>
        <v>0.23788079550153482</v>
      </c>
      <c r="E43" s="111">
        <f t="shared" ref="E43:M43" si="13">(E29-$B$37-$B$35)/$B$38</f>
        <v>0.71597854596710675</v>
      </c>
      <c r="F43" s="103">
        <f t="shared" si="13"/>
        <v>0.64444498103002301</v>
      </c>
      <c r="G43" s="109">
        <f t="shared" si="13"/>
        <v>0.70081161922411739</v>
      </c>
      <c r="H43" s="103">
        <f t="shared" si="13"/>
        <v>0.2221479386561952</v>
      </c>
      <c r="I43" s="109">
        <f t="shared" si="13"/>
        <v>0.29187052726575785</v>
      </c>
      <c r="J43" s="103">
        <f t="shared" si="13"/>
        <v>0.22712812355687825</v>
      </c>
      <c r="K43" s="109">
        <f t="shared" si="13"/>
        <v>0.35604700087228697</v>
      </c>
      <c r="L43" s="103">
        <f t="shared" si="13"/>
        <v>0.3399745859655372</v>
      </c>
      <c r="M43" s="112">
        <f t="shared" si="13"/>
        <v>0.14812428126877003</v>
      </c>
    </row>
    <row r="44" spans="1:13" x14ac:dyDescent="0.2">
      <c r="A44" s="12" t="s">
        <v>3</v>
      </c>
      <c r="B44" s="128">
        <f t="shared" si="9"/>
        <v>7.923021432904877E-4</v>
      </c>
      <c r="C44" s="80">
        <f t="shared" si="11"/>
        <v>0.37234578781997696</v>
      </c>
      <c r="D44" s="81">
        <f t="shared" si="11"/>
        <v>0.40833894232945894</v>
      </c>
      <c r="E44" s="111">
        <f t="shared" ref="E44:M44" si="14">(E30-$B$37-$B$35)/$B$38</f>
        <v>0.70715003637044127</v>
      </c>
      <c r="F44" s="108">
        <f t="shared" si="14"/>
        <v>0.65168888634010735</v>
      </c>
      <c r="G44" s="109">
        <f t="shared" si="14"/>
        <v>0.6996797590194167</v>
      </c>
      <c r="H44" s="108">
        <f t="shared" si="14"/>
        <v>0.22056333436961426</v>
      </c>
      <c r="I44" s="109">
        <f t="shared" si="14"/>
        <v>0.29141778318387757</v>
      </c>
      <c r="J44" s="108">
        <f t="shared" si="14"/>
        <v>0.24025770193140625</v>
      </c>
      <c r="K44" s="109">
        <f t="shared" si="14"/>
        <v>0.39271927150458941</v>
      </c>
      <c r="L44" s="108">
        <f t="shared" si="14"/>
        <v>0.36329090618237142</v>
      </c>
      <c r="M44" s="112">
        <f t="shared" si="14"/>
        <v>0.14699242106406935</v>
      </c>
    </row>
    <row r="45" spans="1:13" x14ac:dyDescent="0.2">
      <c r="A45" s="12" t="s">
        <v>4</v>
      </c>
      <c r="B45" s="129">
        <f t="shared" si="9"/>
        <v>0.9525373287495511</v>
      </c>
      <c r="C45" s="80">
        <f t="shared" si="11"/>
        <v>0.53533365729687643</v>
      </c>
      <c r="D45" s="81">
        <f t="shared" si="11"/>
        <v>0.48915376094508828</v>
      </c>
      <c r="E45" s="103">
        <f t="shared" ref="E45:M45" si="15">(E31-$B$37-$B$35)/$B$38</f>
        <v>0.26776190490563312</v>
      </c>
      <c r="F45" s="109">
        <f t="shared" si="15"/>
        <v>0.23991814386999608</v>
      </c>
      <c r="G45" s="103">
        <f t="shared" si="15"/>
        <v>0.19294594537491738</v>
      </c>
      <c r="H45" s="109">
        <f t="shared" si="15"/>
        <v>0.22056333436961426</v>
      </c>
      <c r="I45" s="103">
        <f t="shared" si="15"/>
        <v>0.29141778318387757</v>
      </c>
      <c r="J45" s="109">
        <f t="shared" si="15"/>
        <v>0.49187022543636988</v>
      </c>
      <c r="K45" s="103">
        <f t="shared" si="15"/>
        <v>0.49254934155919033</v>
      </c>
      <c r="L45" s="109">
        <f t="shared" si="15"/>
        <v>0.51563928973508444</v>
      </c>
      <c r="M45" s="115">
        <f t="shared" si="15"/>
        <v>0.32842961187759012</v>
      </c>
    </row>
    <row r="46" spans="1:13" x14ac:dyDescent="0.2">
      <c r="A46" s="12" t="s">
        <v>5</v>
      </c>
      <c r="B46" s="130">
        <f t="shared" si="9"/>
        <v>0.99011508754561406</v>
      </c>
      <c r="C46" s="80">
        <f t="shared" si="11"/>
        <v>0.69809515473283579</v>
      </c>
      <c r="D46" s="81">
        <f t="shared" si="11"/>
        <v>0.75604639721351119</v>
      </c>
      <c r="E46" s="108">
        <f t="shared" ref="E46:M46" si="16">(E32-$B$37-$B$35)/$B$38</f>
        <v>0.23267423855991165</v>
      </c>
      <c r="F46" s="109">
        <f t="shared" si="16"/>
        <v>0.2263358214135878</v>
      </c>
      <c r="G46" s="108">
        <f t="shared" si="16"/>
        <v>0.19339868945679767</v>
      </c>
      <c r="H46" s="109">
        <f t="shared" si="16"/>
        <v>0.22644900743405785</v>
      </c>
      <c r="I46" s="108">
        <f t="shared" si="16"/>
        <v>0.29164415522481768</v>
      </c>
      <c r="J46" s="109">
        <f t="shared" si="16"/>
        <v>0.52265682300422867</v>
      </c>
      <c r="K46" s="108">
        <f t="shared" si="16"/>
        <v>0.49413394584577131</v>
      </c>
      <c r="L46" s="109">
        <f t="shared" si="16"/>
        <v>0.5111118489162817</v>
      </c>
      <c r="M46" s="117">
        <f t="shared" si="16"/>
        <v>0.34020095800647737</v>
      </c>
    </row>
    <row r="47" spans="1:13" x14ac:dyDescent="0.2">
      <c r="A47" s="12" t="s">
        <v>6</v>
      </c>
      <c r="B47" s="130">
        <f t="shared" si="9"/>
        <v>1.0573475837048352</v>
      </c>
      <c r="C47" s="80">
        <f t="shared" si="11"/>
        <v>0.81241303540760557</v>
      </c>
      <c r="D47" s="81">
        <f t="shared" si="11"/>
        <v>0.81309215153042602</v>
      </c>
      <c r="E47" s="111">
        <f t="shared" ref="E47:M47" si="17">(E33-$B$37-$B$35)/$B$38</f>
        <v>0.39679396824151192</v>
      </c>
      <c r="F47" s="103">
        <f t="shared" si="17"/>
        <v>0.33318342473733303</v>
      </c>
      <c r="G47" s="109">
        <f t="shared" si="17"/>
        <v>0.45561221563898802</v>
      </c>
      <c r="H47" s="103">
        <f t="shared" si="17"/>
        <v>0.22290175755252584</v>
      </c>
      <c r="I47" s="109">
        <f t="shared" si="17"/>
        <v>0.10179271564955196</v>
      </c>
      <c r="J47" s="103">
        <f t="shared" si="17"/>
        <v>0.70715003637044127</v>
      </c>
      <c r="K47" s="109">
        <f t="shared" si="17"/>
        <v>0.65168888634010735</v>
      </c>
      <c r="L47" s="103">
        <f t="shared" si="17"/>
        <v>0.41214878377848141</v>
      </c>
      <c r="M47" s="118">
        <f t="shared" si="17"/>
        <v>0.6048298738654988</v>
      </c>
    </row>
    <row r="48" spans="1:13" x14ac:dyDescent="0.2">
      <c r="A48" s="12" t="s">
        <v>7</v>
      </c>
      <c r="B48" s="94">
        <f t="shared" si="9"/>
        <v>0.88621032075409067</v>
      </c>
      <c r="C48" s="95">
        <f t="shared" si="11"/>
        <v>0.86764781339699937</v>
      </c>
      <c r="D48" s="96">
        <f t="shared" si="11"/>
        <v>0.85972479196409446</v>
      </c>
      <c r="E48" s="122">
        <f t="shared" ref="E48:M48" si="18">(E34-$B$37-$B$35)/$B$38</f>
        <v>0.35604700087228697</v>
      </c>
      <c r="F48" s="108">
        <f t="shared" si="18"/>
        <v>0.3399745859655372</v>
      </c>
      <c r="G48" s="123">
        <f t="shared" si="18"/>
        <v>0.49817015933573394</v>
      </c>
      <c r="H48" s="108">
        <f t="shared" si="18"/>
        <v>0.23467310368141306</v>
      </c>
      <c r="I48" s="123">
        <f t="shared" si="18"/>
        <v>0.26002677226670856</v>
      </c>
      <c r="J48" s="108">
        <f t="shared" si="18"/>
        <v>0.70013250310129704</v>
      </c>
      <c r="K48" s="123">
        <f t="shared" si="18"/>
        <v>0.6627811163461742</v>
      </c>
      <c r="L48" s="108">
        <f t="shared" si="18"/>
        <v>0.45470672747522745</v>
      </c>
      <c r="M48" s="124">
        <f t="shared" si="18"/>
        <v>0.6614228841005334</v>
      </c>
    </row>
    <row r="49" spans="1:15" x14ac:dyDescent="0.2">
      <c r="E49" s="30"/>
      <c r="F49" s="31" t="s">
        <v>73</v>
      </c>
      <c r="H49" s="32"/>
      <c r="I49" s="31" t="s">
        <v>74</v>
      </c>
    </row>
    <row r="51" spans="1:15" x14ac:dyDescent="0.2">
      <c r="A51" s="12" t="s">
        <v>33</v>
      </c>
      <c r="B51" s="14">
        <v>1</v>
      </c>
      <c r="C51" s="14">
        <v>2</v>
      </c>
      <c r="D51" s="14">
        <v>3</v>
      </c>
      <c r="E51" s="14">
        <v>4</v>
      </c>
      <c r="F51" s="14">
        <v>5</v>
      </c>
      <c r="G51" s="14">
        <v>6</v>
      </c>
      <c r="H51" s="14">
        <v>7</v>
      </c>
      <c r="I51" s="14">
        <v>8</v>
      </c>
      <c r="J51" s="14">
        <v>9</v>
      </c>
      <c r="K51" s="14">
        <v>10</v>
      </c>
      <c r="L51" s="14">
        <v>11</v>
      </c>
      <c r="M51" s="14">
        <v>12</v>
      </c>
    </row>
    <row r="52" spans="1:15" x14ac:dyDescent="0.2">
      <c r="A52" s="12" t="s">
        <v>0</v>
      </c>
      <c r="B52" s="125"/>
      <c r="C52" s="74">
        <f t="shared" ref="C52:D59" si="19">LN(C41/(1-C41))</f>
        <v>-2.9883568285109878</v>
      </c>
      <c r="D52" s="75">
        <f t="shared" si="19"/>
        <v>-2.4976258246458354</v>
      </c>
      <c r="E52" s="103">
        <f t="shared" ref="E52:J52" si="20">LN(E41/(1-E41))</f>
        <v>8.2279155325829557E-3</v>
      </c>
      <c r="F52" s="104">
        <f t="shared" si="20"/>
        <v>9.4319105156366129E-2</v>
      </c>
      <c r="G52" s="103">
        <f t="shared" si="20"/>
        <v>0.12883570771275163</v>
      </c>
      <c r="H52" s="104">
        <f t="shared" si="20"/>
        <v>-0.80763033704215315</v>
      </c>
      <c r="I52" s="103">
        <f t="shared" si="20"/>
        <v>-2.2418048252183347</v>
      </c>
      <c r="J52" s="104">
        <f t="shared" si="20"/>
        <v>-1.7638140121067738</v>
      </c>
      <c r="K52" s="103">
        <f>LN(K41/(1-K41))</f>
        <v>-1.1932720752447401</v>
      </c>
      <c r="L52" s="104">
        <f>LN(L41/(1-L41))</f>
        <v>-1.2291180698212099</v>
      </c>
      <c r="M52" s="103">
        <f>LN(M41/(1-M41))</f>
        <v>-0.72300401544080262</v>
      </c>
    </row>
    <row r="53" spans="1:15" x14ac:dyDescent="0.2">
      <c r="A53" s="12" t="s">
        <v>1</v>
      </c>
      <c r="B53" s="126"/>
      <c r="C53" s="80">
        <f t="shared" si="19"/>
        <v>-1.7829731491823806</v>
      </c>
      <c r="D53" s="81">
        <f t="shared" si="19"/>
        <v>-1.6870780717160094</v>
      </c>
      <c r="E53" s="108">
        <f t="shared" ref="E53:E59" si="21">LN(E42/(1-E42))</f>
        <v>-3.2521964432358524E-2</v>
      </c>
      <c r="F53" s="109">
        <f t="shared" ref="F53:M57" si="22">LN(F42/(1-F42))</f>
        <v>-2.9804839941280917E-2</v>
      </c>
      <c r="G53" s="108">
        <f t="shared" si="22"/>
        <v>6.2577571846678268E-2</v>
      </c>
      <c r="H53" s="109">
        <f t="shared" si="22"/>
        <v>-0.82039781298216607</v>
      </c>
      <c r="I53" s="108">
        <f t="shared" si="22"/>
        <v>-2.1659528315527674</v>
      </c>
      <c r="J53" s="109">
        <f t="shared" si="22"/>
        <v>-1.7547811845615395</v>
      </c>
      <c r="K53" s="108">
        <f t="shared" si="22"/>
        <v>-1.1211187982766808</v>
      </c>
      <c r="L53" s="109">
        <f t="shared" si="22"/>
        <v>-1.0245608632906724</v>
      </c>
      <c r="M53" s="108">
        <f t="shared" si="22"/>
        <v>-0.75508512628002222</v>
      </c>
    </row>
    <row r="54" spans="1:15" x14ac:dyDescent="0.2">
      <c r="A54" s="12" t="s">
        <v>2</v>
      </c>
      <c r="B54" s="127"/>
      <c r="C54" s="80">
        <f t="shared" si="19"/>
        <v>-1.0362395234778914</v>
      </c>
      <c r="D54" s="81">
        <f t="shared" si="19"/>
        <v>-1.1643332908391075</v>
      </c>
      <c r="E54" s="111">
        <f t="shared" si="21"/>
        <v>0.9246004251012655</v>
      </c>
      <c r="F54" s="103">
        <f t="shared" si="22"/>
        <v>0.59470944952721894</v>
      </c>
      <c r="G54" s="109">
        <f t="shared" si="22"/>
        <v>0.85116570838677985</v>
      </c>
      <c r="H54" s="103">
        <f t="shared" si="22"/>
        <v>-1.2531928033066706</v>
      </c>
      <c r="I54" s="109">
        <f t="shared" si="22"/>
        <v>-0.88631664390566989</v>
      </c>
      <c r="J54" s="103">
        <f t="shared" si="22"/>
        <v>-1.2245990071819071</v>
      </c>
      <c r="K54" s="109">
        <f t="shared" si="22"/>
        <v>-0.59256299366038101</v>
      </c>
      <c r="L54" s="103">
        <f t="shared" si="22"/>
        <v>-0.66340747273563816</v>
      </c>
      <c r="M54" s="112">
        <f t="shared" si="22"/>
        <v>-1.749388986471814</v>
      </c>
    </row>
    <row r="55" spans="1:15" x14ac:dyDescent="0.2">
      <c r="A55" s="12" t="s">
        <v>3</v>
      </c>
      <c r="B55" s="128"/>
      <c r="C55" s="80">
        <f t="shared" si="19"/>
        <v>-0.52216643760345671</v>
      </c>
      <c r="D55" s="81">
        <f t="shared" si="19"/>
        <v>-0.37083636266960163</v>
      </c>
      <c r="E55" s="111">
        <f t="shared" si="21"/>
        <v>0.8815824505579315</v>
      </c>
      <c r="F55" s="108">
        <f t="shared" si="22"/>
        <v>0.62647119469563128</v>
      </c>
      <c r="G55" s="109">
        <f t="shared" si="22"/>
        <v>0.84577336799854719</v>
      </c>
      <c r="H55" s="108">
        <f t="shared" si="22"/>
        <v>-1.2623865508585224</v>
      </c>
      <c r="I55" s="109">
        <f t="shared" si="22"/>
        <v>-0.88850817728203657</v>
      </c>
      <c r="J55" s="108">
        <f t="shared" si="22"/>
        <v>-1.1512671889668791</v>
      </c>
      <c r="K55" s="109">
        <f t="shared" si="22"/>
        <v>-0.43589613456305903</v>
      </c>
      <c r="L55" s="108">
        <f t="shared" si="22"/>
        <v>-0.56110896189480397</v>
      </c>
      <c r="M55" s="112">
        <f t="shared" si="22"/>
        <v>-1.7583874044261432</v>
      </c>
    </row>
    <row r="56" spans="1:15" x14ac:dyDescent="0.2">
      <c r="A56" s="12" t="s">
        <v>4</v>
      </c>
      <c r="B56" s="129"/>
      <c r="C56" s="80">
        <f t="shared" si="19"/>
        <v>0.14157060554415593</v>
      </c>
      <c r="D56" s="81">
        <f t="shared" si="19"/>
        <v>-4.3391763268796346E-2</v>
      </c>
      <c r="E56" s="103">
        <f t="shared" si="21"/>
        <v>-1.0060075564904281</v>
      </c>
      <c r="F56" s="109">
        <f t="shared" si="22"/>
        <v>-1.1531283349577857</v>
      </c>
      <c r="G56" s="103">
        <f t="shared" si="22"/>
        <v>-1.4309805743152475</v>
      </c>
      <c r="H56" s="109">
        <f t="shared" si="22"/>
        <v>-1.2623865508585224</v>
      </c>
      <c r="I56" s="103">
        <f t="shared" si="22"/>
        <v>-0.88850817728203657</v>
      </c>
      <c r="J56" s="109">
        <f t="shared" si="22"/>
        <v>-3.2521964432358524E-2</v>
      </c>
      <c r="K56" s="103">
        <f t="shared" si="22"/>
        <v>-2.9804839941280917E-2</v>
      </c>
      <c r="L56" s="109">
        <f t="shared" si="22"/>
        <v>6.2577571846678268E-2</v>
      </c>
      <c r="M56" s="115">
        <f t="shared" si="22"/>
        <v>-0.71529628902813402</v>
      </c>
    </row>
    <row r="57" spans="1:15" x14ac:dyDescent="0.2">
      <c r="A57" s="12" t="s">
        <v>5</v>
      </c>
      <c r="B57" s="130"/>
      <c r="C57" s="80">
        <f t="shared" si="19"/>
        <v>0.83824353247379757</v>
      </c>
      <c r="D57" s="81">
        <f t="shared" si="19"/>
        <v>1.131124691574364</v>
      </c>
      <c r="E57" s="108">
        <f t="shared" si="21"/>
        <v>-1.1932720752447401</v>
      </c>
      <c r="F57" s="109">
        <f t="shared" si="22"/>
        <v>-1.2291180698212099</v>
      </c>
      <c r="G57" s="108">
        <f t="shared" si="22"/>
        <v>-1.4280757005513947</v>
      </c>
      <c r="H57" s="109">
        <f t="shared" si="22"/>
        <v>-1.2284718054597565</v>
      </c>
      <c r="I57" s="108">
        <f t="shared" si="22"/>
        <v>-0.8874121604200127</v>
      </c>
      <c r="J57" s="109">
        <f t="shared" si="22"/>
        <v>9.0689397689370746E-2</v>
      </c>
      <c r="K57" s="108">
        <f t="shared" si="22"/>
        <v>-2.3465293262590239E-2</v>
      </c>
      <c r="L57" s="109">
        <f t="shared" si="22"/>
        <v>4.4454715249726065E-2</v>
      </c>
      <c r="M57" s="117">
        <f t="shared" si="22"/>
        <v>-0.6623988108610418</v>
      </c>
    </row>
    <row r="58" spans="1:15" x14ac:dyDescent="0.2">
      <c r="A58" s="12" t="s">
        <v>6</v>
      </c>
      <c r="B58" s="130"/>
      <c r="C58" s="80">
        <f t="shared" si="19"/>
        <v>1.4657663260881764</v>
      </c>
      <c r="D58" s="81">
        <f t="shared" si="19"/>
        <v>1.4702287441789088</v>
      </c>
      <c r="E58" s="111">
        <f t="shared" si="21"/>
        <v>-0.41884164195243917</v>
      </c>
      <c r="F58" s="103">
        <f t="shared" ref="F58:L59" si="23">LN(F47/(1-F47))</f>
        <v>-0.69382184512104728</v>
      </c>
      <c r="G58" s="109">
        <f t="shared" si="23"/>
        <v>-0.1780197883908371</v>
      </c>
      <c r="H58" s="103">
        <f t="shared" si="23"/>
        <v>-1.2488356552333102</v>
      </c>
      <c r="I58" s="109">
        <f t="shared" si="23"/>
        <v>-2.1774623245125357</v>
      </c>
      <c r="J58" s="103">
        <f t="shared" si="23"/>
        <v>0.8815824505579315</v>
      </c>
      <c r="K58" s="109">
        <f t="shared" si="23"/>
        <v>0.62647119469563128</v>
      </c>
      <c r="L58" s="103">
        <f t="shared" si="23"/>
        <v>-0.35508947240807248</v>
      </c>
      <c r="M58" s="118">
        <f>LN(M47/(1-M47))</f>
        <v>0.42563084701274434</v>
      </c>
    </row>
    <row r="59" spans="1:15" x14ac:dyDescent="0.2">
      <c r="A59" s="12" t="s">
        <v>7</v>
      </c>
      <c r="B59" s="94"/>
      <c r="C59" s="95">
        <f t="shared" si="19"/>
        <v>1.8803194374850445</v>
      </c>
      <c r="D59" s="96">
        <f t="shared" si="19"/>
        <v>1.8130060639960199</v>
      </c>
      <c r="E59" s="122">
        <f t="shared" si="21"/>
        <v>-0.59256299366038101</v>
      </c>
      <c r="F59" s="108">
        <f t="shared" si="23"/>
        <v>-0.66340747273563816</v>
      </c>
      <c r="G59" s="123">
        <f t="shared" si="23"/>
        <v>-7.319395334053974E-3</v>
      </c>
      <c r="H59" s="108">
        <f t="shared" si="23"/>
        <v>-1.182109560428132</v>
      </c>
      <c r="I59" s="123">
        <f t="shared" si="23"/>
        <v>-1.0458294108339274</v>
      </c>
      <c r="J59" s="108">
        <f t="shared" si="23"/>
        <v>0.84792890719113645</v>
      </c>
      <c r="K59" s="123">
        <f t="shared" si="23"/>
        <v>0.67571256851403549</v>
      </c>
      <c r="L59" s="108">
        <f t="shared" si="23"/>
        <v>-0.1816711085192152</v>
      </c>
      <c r="M59" s="124">
        <f>LN(M48/(1-M48))</f>
        <v>0.66964151648780867</v>
      </c>
    </row>
    <row r="61" spans="1:15" x14ac:dyDescent="0.2">
      <c r="A61" s="12" t="s">
        <v>87</v>
      </c>
      <c r="B61" s="14">
        <v>1</v>
      </c>
      <c r="C61" s="14">
        <v>2</v>
      </c>
      <c r="D61" s="14">
        <v>3</v>
      </c>
      <c r="E61" s="14">
        <v>4</v>
      </c>
      <c r="F61" s="14">
        <v>5</v>
      </c>
      <c r="G61" s="14">
        <v>6</v>
      </c>
      <c r="H61" s="14">
        <v>7</v>
      </c>
      <c r="I61" s="14">
        <v>8</v>
      </c>
      <c r="J61" s="14">
        <v>9</v>
      </c>
      <c r="K61" s="14">
        <v>10</v>
      </c>
      <c r="L61" s="14">
        <v>11</v>
      </c>
      <c r="M61" s="14">
        <v>12</v>
      </c>
      <c r="O61" s="12"/>
    </row>
    <row r="62" spans="1:15" x14ac:dyDescent="0.2">
      <c r="A62" s="12" t="s">
        <v>0</v>
      </c>
      <c r="B62" s="15"/>
      <c r="C62" s="131">
        <f>EXP((C52-$C$81)/$C$82)</f>
        <v>233.77305986267589</v>
      </c>
      <c r="D62" s="132">
        <f t="shared" ref="D62:D69" si="24">EXP((D52-$C$81)/$C$82)</f>
        <v>102.12644373394858</v>
      </c>
      <c r="E62" s="133">
        <f t="shared" ref="E62:M62" si="25">EXP((E52-$C$81)/$C$82)*E7</f>
        <v>2.9759837402813711</v>
      </c>
      <c r="F62" s="134">
        <f t="shared" si="25"/>
        <v>2.5735606584833239</v>
      </c>
      <c r="G62" s="133">
        <f t="shared" si="25"/>
        <v>2.4279359526752087</v>
      </c>
      <c r="H62" s="134">
        <f t="shared" si="25"/>
        <v>11.791586340720869</v>
      </c>
      <c r="I62" s="133">
        <f t="shared" si="25"/>
        <v>132.64083743553445</v>
      </c>
      <c r="J62" s="134">
        <f t="shared" si="25"/>
        <v>59.204985036104297</v>
      </c>
      <c r="K62" s="133">
        <f t="shared" si="25"/>
        <v>22.605216561447186</v>
      </c>
      <c r="L62" s="134">
        <f t="shared" si="25"/>
        <v>24.014865844918827</v>
      </c>
      <c r="M62" s="133">
        <f t="shared" si="25"/>
        <v>10.222325143957608</v>
      </c>
    </row>
    <row r="63" spans="1:15" x14ac:dyDescent="0.2">
      <c r="A63" s="12" t="s">
        <v>1</v>
      </c>
      <c r="B63" s="18"/>
      <c r="C63" s="135">
        <f t="shared" ref="C63:C69" si="26">EXP((C53-$C$81)/$C$82)</f>
        <v>30.575248260515973</v>
      </c>
      <c r="D63" s="136">
        <f t="shared" si="24"/>
        <v>26.006899988590543</v>
      </c>
      <c r="E63" s="137">
        <f t="shared" ref="E63:M63" si="27">EXP((E53-$C$81)/$C$82)*E7</f>
        <v>3.1878369449995958</v>
      </c>
      <c r="F63" s="138">
        <f t="shared" si="27"/>
        <v>3.1732531639932535</v>
      </c>
      <c r="G63" s="137">
        <f t="shared" si="27"/>
        <v>2.7151745007301233</v>
      </c>
      <c r="H63" s="138">
        <f t="shared" si="27"/>
        <v>12.048403551562965</v>
      </c>
      <c r="I63" s="137">
        <f t="shared" si="27"/>
        <v>116.70390990351075</v>
      </c>
      <c r="J63" s="138">
        <f t="shared" si="27"/>
        <v>58.309339985658887</v>
      </c>
      <c r="K63" s="137">
        <f t="shared" si="27"/>
        <v>20.013710292722685</v>
      </c>
      <c r="L63" s="138">
        <f t="shared" si="27"/>
        <v>17.004364148379306</v>
      </c>
      <c r="M63" s="137">
        <f t="shared" si="27"/>
        <v>10.791005253384101</v>
      </c>
    </row>
    <row r="64" spans="1:15" x14ac:dyDescent="0.2">
      <c r="A64" s="12" t="s">
        <v>2</v>
      </c>
      <c r="B64" s="22"/>
      <c r="C64" s="135">
        <f t="shared" si="26"/>
        <v>8.6714091683141739</v>
      </c>
      <c r="D64" s="136">
        <f t="shared" si="24"/>
        <v>10.763895448924147</v>
      </c>
      <c r="E64" s="139">
        <f t="shared" ref="E64:M64" si="28">EXP((E54-$C$81)/$C$82)*E9</f>
        <v>0.63390193330295341</v>
      </c>
      <c r="F64" s="133">
        <f t="shared" si="28"/>
        <v>1.1061113172984398</v>
      </c>
      <c r="G64" s="138">
        <f t="shared" si="28"/>
        <v>0.71753370354818635</v>
      </c>
      <c r="H64" s="133">
        <f t="shared" si="28"/>
        <v>25.01062314975875</v>
      </c>
      <c r="I64" s="138">
        <f t="shared" si="28"/>
        <v>13.466084935793864</v>
      </c>
      <c r="J64" s="133">
        <f t="shared" si="28"/>
        <v>23.832420252347596</v>
      </c>
      <c r="K64" s="138">
        <f t="shared" si="28"/>
        <v>8.2025634538227177</v>
      </c>
      <c r="L64" s="133">
        <f t="shared" si="28"/>
        <v>9.2442449599929279</v>
      </c>
      <c r="M64" s="140">
        <f t="shared" si="28"/>
        <v>57.781151049338312</v>
      </c>
    </row>
    <row r="65" spans="1:15" x14ac:dyDescent="0.2">
      <c r="A65" s="12" t="s">
        <v>3</v>
      </c>
      <c r="B65" s="23"/>
      <c r="C65" s="135">
        <f t="shared" si="26"/>
        <v>3.6418834148138557</v>
      </c>
      <c r="D65" s="136">
        <f t="shared" si="24"/>
        <v>2.8210863612250696</v>
      </c>
      <c r="E65" s="139">
        <f t="shared" ref="E65:M65" si="29">EXP((E55-$C$81)/$C$82)*E9</f>
        <v>0.68163189842994198</v>
      </c>
      <c r="F65" s="137">
        <f t="shared" si="29"/>
        <v>1.0483847264504047</v>
      </c>
      <c r="G65" s="138">
        <f t="shared" si="29"/>
        <v>0.724092995010302</v>
      </c>
      <c r="H65" s="137">
        <f t="shared" si="29"/>
        <v>25.401689360255617</v>
      </c>
      <c r="I65" s="138">
        <f t="shared" si="29"/>
        <v>13.515979424723533</v>
      </c>
      <c r="J65" s="137">
        <f t="shared" si="29"/>
        <v>21.058301224661008</v>
      </c>
      <c r="K65" s="138">
        <f t="shared" si="29"/>
        <v>6.2969264036722334</v>
      </c>
      <c r="L65" s="137">
        <f t="shared" si="29"/>
        <v>7.7785199678600918</v>
      </c>
      <c r="M65" s="140">
        <f t="shared" si="29"/>
        <v>58.665276301264001</v>
      </c>
    </row>
    <row r="66" spans="1:15" x14ac:dyDescent="0.2">
      <c r="A66" s="12" t="s">
        <v>4</v>
      </c>
      <c r="B66" s="24"/>
      <c r="C66" s="135">
        <f t="shared" si="26"/>
        <v>1.1881570160593493</v>
      </c>
      <c r="D66" s="136">
        <f t="shared" si="24"/>
        <v>1.6234262661566978</v>
      </c>
      <c r="E66" s="133">
        <f t="shared" ref="E66:M66" si="30">EXP((E56-$C$81)/$C$82)*E11</f>
        <v>16.480208321131499</v>
      </c>
      <c r="F66" s="138">
        <f t="shared" si="30"/>
        <v>21.12454510674052</v>
      </c>
      <c r="G66" s="133">
        <f t="shared" si="30"/>
        <v>33.761753022371302</v>
      </c>
      <c r="H66" s="138">
        <f t="shared" si="30"/>
        <v>25.401689360255617</v>
      </c>
      <c r="I66" s="133">
        <f t="shared" si="30"/>
        <v>13.515979424723533</v>
      </c>
      <c r="J66" s="138">
        <f t="shared" si="30"/>
        <v>3.1878369449995958</v>
      </c>
      <c r="K66" s="133">
        <f t="shared" si="30"/>
        <v>3.1732531639932535</v>
      </c>
      <c r="L66" s="138">
        <f t="shared" si="30"/>
        <v>2.7151745007301233</v>
      </c>
      <c r="M66" s="141">
        <f t="shared" si="30"/>
        <v>5.0451108170279726</v>
      </c>
    </row>
    <row r="67" spans="1:15" x14ac:dyDescent="0.2">
      <c r="A67" s="12" t="s">
        <v>5</v>
      </c>
      <c r="B67" s="25"/>
      <c r="C67" s="135">
        <f t="shared" si="26"/>
        <v>0.36667640029621967</v>
      </c>
      <c r="D67" s="136">
        <f t="shared" si="24"/>
        <v>0.22368180383516362</v>
      </c>
      <c r="E67" s="137">
        <f t="shared" ref="E67:M67" si="31">EXP((E57-$C$81)/$C$82)*E11</f>
        <v>22.605216561447186</v>
      </c>
      <c r="F67" s="138">
        <f t="shared" si="31"/>
        <v>24.014865844918827</v>
      </c>
      <c r="G67" s="137">
        <f t="shared" si="31"/>
        <v>33.596652668495054</v>
      </c>
      <c r="H67" s="138">
        <f t="shared" si="31"/>
        <v>23.988689236494022</v>
      </c>
      <c r="I67" s="137">
        <f t="shared" si="31"/>
        <v>13.491003418674826</v>
      </c>
      <c r="J67" s="138">
        <f t="shared" si="31"/>
        <v>2.5893730159333468</v>
      </c>
      <c r="K67" s="137">
        <f t="shared" si="31"/>
        <v>3.1394854485610879</v>
      </c>
      <c r="L67" s="138">
        <f t="shared" si="31"/>
        <v>2.7994967618095794</v>
      </c>
      <c r="M67" s="59">
        <f t="shared" si="31"/>
        <v>4.6142614891589888</v>
      </c>
    </row>
    <row r="68" spans="1:15" x14ac:dyDescent="0.2">
      <c r="A68" s="12" t="s">
        <v>6</v>
      </c>
      <c r="B68" s="25"/>
      <c r="C68" s="135">
        <f t="shared" si="26"/>
        <v>0.12716633172482381</v>
      </c>
      <c r="D68" s="136">
        <f t="shared" si="24"/>
        <v>0.12621228865160705</v>
      </c>
      <c r="E68" s="139">
        <f t="shared" ref="E68:M68" si="32">EXP((E58-$C$81)/$C$82)*E13</f>
        <v>6.1182806879433453</v>
      </c>
      <c r="F68" s="133">
        <f t="shared" si="32"/>
        <v>9.7311038572544426</v>
      </c>
      <c r="G68" s="138">
        <f t="shared" si="32"/>
        <v>4.0750346539744227</v>
      </c>
      <c r="H68" s="133">
        <f t="shared" si="32"/>
        <v>24.827395529318625</v>
      </c>
      <c r="I68" s="138">
        <f t="shared" si="32"/>
        <v>118.99280494571646</v>
      </c>
      <c r="J68" s="133">
        <f t="shared" si="32"/>
        <v>0.68163189842994198</v>
      </c>
      <c r="K68" s="133">
        <f t="shared" si="32"/>
        <v>1.0483847264504047</v>
      </c>
      <c r="L68" s="133">
        <f t="shared" si="32"/>
        <v>5.4942130631568551</v>
      </c>
      <c r="M68" s="141">
        <f t="shared" si="32"/>
        <v>0.73567563971583583</v>
      </c>
    </row>
    <row r="69" spans="1:15" x14ac:dyDescent="0.2">
      <c r="A69" s="12" t="s">
        <v>7</v>
      </c>
      <c r="B69" s="28"/>
      <c r="C69" s="142">
        <f t="shared" si="26"/>
        <v>6.3175194999724682E-2</v>
      </c>
      <c r="D69" s="143">
        <f t="shared" si="24"/>
        <v>7.0775100363294902E-2</v>
      </c>
      <c r="E69" s="144">
        <f t="shared" ref="E69:M69" si="33">EXP((E59-$C$81)/$C$82)*E13</f>
        <v>8.2025634538227177</v>
      </c>
      <c r="F69" s="137">
        <f t="shared" si="33"/>
        <v>9.2442449599929279</v>
      </c>
      <c r="G69" s="145">
        <f t="shared" si="33"/>
        <v>3.0550981155917247</v>
      </c>
      <c r="H69" s="137">
        <f t="shared" si="33"/>
        <v>22.183377832470107</v>
      </c>
      <c r="I69" s="145">
        <f t="shared" si="33"/>
        <v>17.625769794318167</v>
      </c>
      <c r="J69" s="137">
        <f t="shared" si="33"/>
        <v>0.72146381441029361</v>
      </c>
      <c r="K69" s="137">
        <f t="shared" si="33"/>
        <v>0.96478764342982581</v>
      </c>
      <c r="L69" s="137">
        <f t="shared" si="33"/>
        <v>4.1002218449504131</v>
      </c>
      <c r="M69" s="59">
        <f t="shared" si="33"/>
        <v>0.48736148476941271</v>
      </c>
    </row>
    <row r="71" spans="1:15" ht="13.5" customHeight="1" x14ac:dyDescent="0.2">
      <c r="A71" s="12" t="s">
        <v>81</v>
      </c>
      <c r="B71" s="33" t="s">
        <v>80</v>
      </c>
      <c r="C71" s="33" t="s">
        <v>24</v>
      </c>
      <c r="D71" s="33" t="s">
        <v>25</v>
      </c>
      <c r="E71" s="33" t="s">
        <v>27</v>
      </c>
      <c r="F71" s="33" t="s">
        <v>86</v>
      </c>
      <c r="G71" s="34" t="str">
        <f>INDEX(AF202:AF299,B1)</f>
        <v>12(13)DiHOME</v>
      </c>
      <c r="H71" s="35" t="str">
        <f>INDEX(AE202:AE299,B1)</f>
        <v>ng/mL</v>
      </c>
      <c r="I71" s="36" t="s">
        <v>35</v>
      </c>
      <c r="J71" s="36" t="s">
        <v>12</v>
      </c>
      <c r="K71" s="33" t="s">
        <v>171</v>
      </c>
      <c r="L71" s="33" t="s">
        <v>28</v>
      </c>
      <c r="M71" s="36" t="s">
        <v>34</v>
      </c>
    </row>
    <row r="72" spans="1:15" ht="13.5" customHeight="1" x14ac:dyDescent="0.2">
      <c r="A72" s="12" t="s">
        <v>16</v>
      </c>
      <c r="B72" s="162">
        <f>INDEX(AD202:AD299, B1)</f>
        <v>100</v>
      </c>
      <c r="C72" s="103">
        <f t="shared" ref="C72:C79" si="34">AVERAGE(C27:D27)-$B$37-$B$35</f>
        <v>2.7383999999999999E-2</v>
      </c>
      <c r="D72" s="103">
        <f t="shared" ref="D72:D79" si="35">C72/$B$38</f>
        <v>6.198971969104744E-2</v>
      </c>
      <c r="E72" s="146">
        <f t="shared" ref="E72:E79" si="36">LN(D72/(1-D72))</f>
        <v>-2.7167923489016759</v>
      </c>
      <c r="F72" s="38">
        <f>EXP((E72-$C$81)/$C$82)</f>
        <v>147.83086946551489</v>
      </c>
      <c r="G72" s="39" t="str">
        <f>E6</f>
        <v>Smpl1</v>
      </c>
      <c r="H72" s="149">
        <f>AVERAGE(E62:E63)</f>
        <v>3.0819103426404837</v>
      </c>
      <c r="I72" s="40">
        <f>AVERAGE(E41:E42)*100</f>
        <v>49.696359635752295</v>
      </c>
      <c r="J72" s="41" t="str">
        <f>E7</f>
        <v>2</v>
      </c>
      <c r="K72" s="6">
        <f>STDEV(E62:E63)</f>
        <v>0.14980283767235855</v>
      </c>
      <c r="L72" s="5">
        <f>(K72/H72)*100</f>
        <v>4.8607136813724496</v>
      </c>
      <c r="M72" s="6">
        <f>K72/SQRT(2)</f>
        <v>0.10592660235911233</v>
      </c>
      <c r="N72" s="42"/>
      <c r="O72" s="43"/>
    </row>
    <row r="73" spans="1:15" ht="13.5" customHeight="1" x14ac:dyDescent="0.2">
      <c r="A73" s="12" t="s">
        <v>17</v>
      </c>
      <c r="B73" s="163">
        <f t="shared" ref="B73:B79" si="37">B72/INDEX($AI$202:$AI$299, $B$1)</f>
        <v>33.333333333333336</v>
      </c>
      <c r="C73" s="147">
        <f t="shared" si="34"/>
        <v>6.6283999999999996E-2</v>
      </c>
      <c r="D73" s="147">
        <f t="shared" si="35"/>
        <v>0.1500484436167612</v>
      </c>
      <c r="E73" s="112">
        <f t="shared" si="36"/>
        <v>-1.7342211559681209</v>
      </c>
      <c r="F73" s="45">
        <f t="shared" ref="F73:F79" si="38">EXP((E73-$C$81)/$C$82)</f>
        <v>28.1604574857015</v>
      </c>
      <c r="G73" s="39" t="str">
        <f>E8</f>
        <v>Smpl2</v>
      </c>
      <c r="H73" s="149">
        <f>AVERAGE(E64:E65)</f>
        <v>0.65776691586644764</v>
      </c>
      <c r="I73" s="40">
        <f>AVERAGE(E43:E44)*100</f>
        <v>71.156429116877405</v>
      </c>
      <c r="J73" s="41" t="str">
        <f>E9</f>
        <v>2</v>
      </c>
      <c r="K73" s="6">
        <f>STDEV(E64:E65)</f>
        <v>3.3750182007091054E-2</v>
      </c>
      <c r="L73" s="5">
        <f t="shared" ref="L73:L105" si="39">(K73/H73)*100</f>
        <v>5.1310245609774112</v>
      </c>
      <c r="M73" s="6">
        <f t="shared" ref="M73:M80" si="40">K73/SQRT(2)</f>
        <v>2.3864982563494286E-2</v>
      </c>
      <c r="N73" s="42"/>
    </row>
    <row r="74" spans="1:15" ht="13.5" customHeight="1" x14ac:dyDescent="0.2">
      <c r="A74" s="12" t="s">
        <v>18</v>
      </c>
      <c r="B74" s="163">
        <f t="shared" si="37"/>
        <v>11.111111111111112</v>
      </c>
      <c r="C74" s="147">
        <f t="shared" si="34"/>
        <v>0.110384</v>
      </c>
      <c r="D74" s="147">
        <f t="shared" si="35"/>
        <v>0.24987851367136213</v>
      </c>
      <c r="E74" s="112">
        <f t="shared" si="36"/>
        <v>-1.0992603207462368</v>
      </c>
      <c r="F74" s="45">
        <f t="shared" si="38"/>
        <v>9.6444520303749446</v>
      </c>
      <c r="G74" s="39" t="str">
        <f>E10</f>
        <v>Smpl3</v>
      </c>
      <c r="H74" s="149">
        <f>AVERAGE(E66:E67)</f>
        <v>19.542712441289343</v>
      </c>
      <c r="I74" s="40">
        <f>AVERAGE(E45:E46)*100</f>
        <v>25.021807173277239</v>
      </c>
      <c r="J74" s="41" t="str">
        <f>E11</f>
        <v>2</v>
      </c>
      <c r="K74" s="6">
        <f>STDEV(E66:E67)</f>
        <v>4.3310348615507124</v>
      </c>
      <c r="L74" s="5">
        <f t="shared" si="39"/>
        <v>22.161892186471579</v>
      </c>
      <c r="M74" s="6">
        <f t="shared" si="40"/>
        <v>3.0625041201578487</v>
      </c>
      <c r="N74" s="42"/>
    </row>
    <row r="75" spans="1:15" ht="13.5" customHeight="1" x14ac:dyDescent="0.2">
      <c r="A75" s="12" t="s">
        <v>19</v>
      </c>
      <c r="B75" s="163">
        <f t="shared" si="37"/>
        <v>3.7037037037037042</v>
      </c>
      <c r="C75" s="147">
        <f t="shared" si="34"/>
        <v>0.172434</v>
      </c>
      <c r="D75" s="147">
        <f t="shared" si="35"/>
        <v>0.39034236507471792</v>
      </c>
      <c r="E75" s="112">
        <f t="shared" si="36"/>
        <v>-0.44587333218776692</v>
      </c>
      <c r="F75" s="45">
        <f t="shared" si="38"/>
        <v>3.2019231177592213</v>
      </c>
      <c r="G75" s="39" t="str">
        <f>E12</f>
        <v>Smpl4</v>
      </c>
      <c r="H75" s="149">
        <f>AVERAGE(E68:E69)</f>
        <v>7.1604220708830315</v>
      </c>
      <c r="I75" s="40">
        <f>AVERAGE(E47:E48)*100</f>
        <v>37.642048455689945</v>
      </c>
      <c r="J75" s="41" t="str">
        <f>E13</f>
        <v>2</v>
      </c>
      <c r="K75" s="6">
        <f>STDEV(E68:E69)</f>
        <v>1.4738104776635523</v>
      </c>
      <c r="L75" s="5">
        <f t="shared" si="39"/>
        <v>20.582731898677036</v>
      </c>
      <c r="M75" s="6">
        <f t="shared" si="40"/>
        <v>1.0421413829396826</v>
      </c>
      <c r="N75" s="42"/>
    </row>
    <row r="76" spans="1:15" ht="13.5" customHeight="1" x14ac:dyDescent="0.2">
      <c r="A76" s="12" t="s">
        <v>20</v>
      </c>
      <c r="B76" s="163">
        <f t="shared" si="37"/>
        <v>1.2345679012345681</v>
      </c>
      <c r="C76" s="147">
        <f t="shared" si="34"/>
        <v>0.22628400000000001</v>
      </c>
      <c r="D76" s="147">
        <f t="shared" si="35"/>
        <v>0.51224370912098238</v>
      </c>
      <c r="E76" s="112">
        <f t="shared" si="36"/>
        <v>4.8984628994010369E-2</v>
      </c>
      <c r="F76" s="45">
        <f t="shared" si="38"/>
        <v>1.3890887839193264</v>
      </c>
      <c r="G76" s="39" t="str">
        <f>F6</f>
        <v>Smpl5</v>
      </c>
      <c r="H76" s="149">
        <f>AVERAGE(F62:F63)</f>
        <v>2.8734069112382885</v>
      </c>
      <c r="I76" s="40">
        <f>AVERAGE(F41:F42)*100</f>
        <v>50.805582636358984</v>
      </c>
      <c r="J76" s="41" t="str">
        <f>F7</f>
        <v>2</v>
      </c>
      <c r="K76" s="6">
        <f>STDEV(F62:F63)</f>
        <v>0.42404663727282815</v>
      </c>
      <c r="L76" s="5">
        <f t="shared" si="39"/>
        <v>14.757625716508288</v>
      </c>
      <c r="M76" s="6">
        <f t="shared" si="40"/>
        <v>0.29984625275496896</v>
      </c>
      <c r="N76" s="42"/>
    </row>
    <row r="77" spans="1:15" ht="13.5" customHeight="1" x14ac:dyDescent="0.2">
      <c r="A77" s="12" t="s">
        <v>21</v>
      </c>
      <c r="B77" s="163">
        <f t="shared" si="37"/>
        <v>0.41152263374485604</v>
      </c>
      <c r="C77" s="147">
        <f t="shared" si="34"/>
        <v>0.32118399999999997</v>
      </c>
      <c r="D77" s="147">
        <f t="shared" si="35"/>
        <v>0.72707077597317338</v>
      </c>
      <c r="E77" s="112">
        <f t="shared" si="36"/>
        <v>0.97981131734144711</v>
      </c>
      <c r="F77" s="45">
        <f t="shared" si="38"/>
        <v>0.28875404319283426</v>
      </c>
      <c r="G77" s="39" t="str">
        <f>F8</f>
        <v>Smpl6</v>
      </c>
      <c r="H77" s="149">
        <f>AVERAGE(F64:F65)</f>
        <v>1.0772480218744223</v>
      </c>
      <c r="I77" s="40">
        <f>AVERAGE(F43:F44)*100</f>
        <v>64.806693368506515</v>
      </c>
      <c r="J77" s="41" t="str">
        <f>F9</f>
        <v>2</v>
      </c>
      <c r="K77" s="6">
        <f>STDEV(F64:F65)</f>
        <v>4.0818863843426915E-2</v>
      </c>
      <c r="L77" s="5">
        <f t="shared" si="39"/>
        <v>3.7891797445496063</v>
      </c>
      <c r="M77" s="6">
        <f t="shared" si="40"/>
        <v>2.8863295424017551E-2</v>
      </c>
      <c r="N77" s="42"/>
    </row>
    <row r="78" spans="1:15" ht="13.5" customHeight="1" x14ac:dyDescent="0.2">
      <c r="A78" s="12" t="s">
        <v>22</v>
      </c>
      <c r="B78" s="163">
        <f t="shared" si="37"/>
        <v>0.13717421124828535</v>
      </c>
      <c r="C78" s="147">
        <f t="shared" si="34"/>
        <v>0.35903400000000002</v>
      </c>
      <c r="D78" s="147">
        <f t="shared" si="35"/>
        <v>0.81275259346901585</v>
      </c>
      <c r="E78" s="112">
        <f t="shared" si="36"/>
        <v>1.467995978159357</v>
      </c>
      <c r="F78" s="45">
        <f t="shared" si="38"/>
        <v>0.12668874499676583</v>
      </c>
      <c r="G78" s="39" t="str">
        <f>F10</f>
        <v>Smpl7</v>
      </c>
      <c r="H78" s="149">
        <f>AVERAGE(F66:F67)</f>
        <v>22.569705475829672</v>
      </c>
      <c r="I78" s="40">
        <f>AVERAGE(F45:F46)*100</f>
        <v>23.312698264179193</v>
      </c>
      <c r="J78" s="41" t="str">
        <f>F11</f>
        <v>2</v>
      </c>
      <c r="K78" s="6">
        <f>STDEV(F66:F67)</f>
        <v>2.0437653937699887</v>
      </c>
      <c r="L78" s="5">
        <f t="shared" si="39"/>
        <v>9.0553480902030206</v>
      </c>
      <c r="M78" s="6">
        <f t="shared" si="40"/>
        <v>1.4451603690891535</v>
      </c>
      <c r="N78" s="42"/>
    </row>
    <row r="79" spans="1:15" ht="13.5" customHeight="1" x14ac:dyDescent="0.2">
      <c r="A79" s="12" t="s">
        <v>23</v>
      </c>
      <c r="B79" s="163">
        <f t="shared" si="37"/>
        <v>4.5724737082761785E-2</v>
      </c>
      <c r="C79" s="108">
        <f t="shared" si="34"/>
        <v>0.38153399999999998</v>
      </c>
      <c r="D79" s="108">
        <f t="shared" si="35"/>
        <v>0.8636863026805468</v>
      </c>
      <c r="E79" s="148">
        <f t="shared" si="36"/>
        <v>1.8462507997151398</v>
      </c>
      <c r="F79" s="47">
        <f t="shared" si="38"/>
        <v>6.6913764108192872E-2</v>
      </c>
      <c r="G79" s="39" t="str">
        <f>F12</f>
        <v>Smpl8</v>
      </c>
      <c r="H79" s="149">
        <f>AVERAGE(F68:F69)</f>
        <v>9.4876744086236862</v>
      </c>
      <c r="I79" s="40">
        <f>AVERAGE(F47:F48)*100</f>
        <v>33.657900535143511</v>
      </c>
      <c r="J79" s="41" t="str">
        <f>F13</f>
        <v>2</v>
      </c>
      <c r="K79" s="6">
        <f>STDEV(F68:F69)</f>
        <v>0.34426122773462164</v>
      </c>
      <c r="L79" s="5">
        <f t="shared" si="39"/>
        <v>3.628510137549728</v>
      </c>
      <c r="M79" s="6">
        <f t="shared" si="40"/>
        <v>0.2434294486307573</v>
      </c>
      <c r="N79" s="42"/>
    </row>
    <row r="80" spans="1:15" ht="13.5" customHeight="1" x14ac:dyDescent="0.2">
      <c r="G80" s="39" t="str">
        <f>G6</f>
        <v>Smpl9</v>
      </c>
      <c r="H80" s="149">
        <f>AVERAGE(G62:G63)</f>
        <v>2.571555226702666</v>
      </c>
      <c r="I80" s="40">
        <f>AVERAGE(G41:G42)*100</f>
        <v>52.390186922939954</v>
      </c>
      <c r="J80" s="41" t="str">
        <f>G7</f>
        <v>2</v>
      </c>
      <c r="K80" s="6">
        <f>STDEV(G62:G63)</f>
        <v>0.20310832514780816</v>
      </c>
      <c r="L80" s="5">
        <f t="shared" si="39"/>
        <v>7.8982680612401408</v>
      </c>
      <c r="M80" s="6">
        <f t="shared" si="40"/>
        <v>0.14361927402745733</v>
      </c>
      <c r="N80" s="42"/>
    </row>
    <row r="81" spans="1:14" ht="13.5" customHeight="1" x14ac:dyDescent="0.2">
      <c r="A81" s="12" t="s">
        <v>83</v>
      </c>
      <c r="B81" s="48" t="s">
        <v>82</v>
      </c>
      <c r="C81" s="11">
        <f>INDEX(LINEST(E72:E79,LN(B72:B79),TRUE,FALSE),2)</f>
        <v>0.24373180221944862</v>
      </c>
      <c r="G81" s="39" t="str">
        <f>G8</f>
        <v>Smpl10</v>
      </c>
      <c r="H81" s="149">
        <f>AVERAGE(G64:G65)</f>
        <v>0.72081334927924412</v>
      </c>
      <c r="I81" s="40">
        <f>AVERAGE(G43:G44)*100</f>
        <v>70.024568912176704</v>
      </c>
      <c r="J81" s="41" t="str">
        <f>G9</f>
        <v>2</v>
      </c>
      <c r="K81" s="6">
        <f>STDEV(G64:G65)</f>
        <v>4.638119472640998E-3</v>
      </c>
      <c r="L81" s="5">
        <f t="shared" si="39"/>
        <v>0.64345637844786696</v>
      </c>
      <c r="M81" s="6">
        <f t="shared" ref="M81:M105" si="41">K81/SQRT(2)</f>
        <v>3.2796457310578231E-3</v>
      </c>
      <c r="N81" s="42"/>
    </row>
    <row r="82" spans="1:14" ht="13.5" customHeight="1" x14ac:dyDescent="0.2">
      <c r="B82" s="48" t="s">
        <v>26</v>
      </c>
      <c r="C82" s="11">
        <f>INDEX(LINEST(E72:E79,LN(B72:B79),TRUE,TRUE),1)</f>
        <v>-0.59257072753179085</v>
      </c>
      <c r="G82" s="39" t="str">
        <f>G10</f>
        <v>Smpl11</v>
      </c>
      <c r="H82" s="149">
        <f>AVERAGE(G66:G67)</f>
        <v>33.679202845433181</v>
      </c>
      <c r="I82" s="40">
        <f>AVERAGE(G45:G46)*100</f>
        <v>19.317231741585754</v>
      </c>
      <c r="J82" s="41" t="str">
        <f>G11</f>
        <v>2</v>
      </c>
      <c r="K82" s="6">
        <f>STDEV(G66:G67)</f>
        <v>0.11674357980219374</v>
      </c>
      <c r="L82" s="5">
        <f t="shared" si="39"/>
        <v>0.34663403506898588</v>
      </c>
      <c r="M82" s="6">
        <f t="shared" si="41"/>
        <v>8.2550176938124054E-2</v>
      </c>
      <c r="N82" s="42"/>
    </row>
    <row r="83" spans="1:14" ht="13.5" customHeight="1" x14ac:dyDescent="0.2">
      <c r="B83" s="48" t="s">
        <v>97</v>
      </c>
      <c r="C83" s="11">
        <f>INDEX(LINEST(E72:E79,LN(B72:B79),TRUE,TRUE),3)</f>
        <v>0.98997740495869857</v>
      </c>
      <c r="G83" s="39" t="str">
        <f>G12</f>
        <v>Smpl12</v>
      </c>
      <c r="H83" s="149">
        <f>AVERAGE(G68:G69)</f>
        <v>3.5650663847830737</v>
      </c>
      <c r="I83" s="40">
        <f>AVERAGE(G47:G48)*100</f>
        <v>47.689118748736099</v>
      </c>
      <c r="J83" s="41" t="str">
        <f>G13</f>
        <v>2</v>
      </c>
      <c r="K83" s="6">
        <f>STDEV(G68:G69)</f>
        <v>0.72120404267033911</v>
      </c>
      <c r="L83" s="5">
        <f t="shared" si="39"/>
        <v>20.229750720735112</v>
      </c>
      <c r="M83" s="6">
        <f t="shared" si="41"/>
        <v>0.50996826919134897</v>
      </c>
      <c r="N83" s="42"/>
    </row>
    <row r="84" spans="1:14" ht="13.5" customHeight="1" x14ac:dyDescent="0.2">
      <c r="G84" s="39" t="str">
        <f>H6</f>
        <v>Smpl13</v>
      </c>
      <c r="H84" s="149">
        <f>AVERAGE(H62:H63)</f>
        <v>11.919994946141916</v>
      </c>
      <c r="I84" s="40">
        <f>AVERAGE(H41:H42)*100</f>
        <v>30.703745400874705</v>
      </c>
      <c r="J84" s="41" t="str">
        <f>H7</f>
        <v>2</v>
      </c>
      <c r="K84" s="6">
        <f>STDEV(H62:H63)</f>
        <v>0.18159719131186117</v>
      </c>
      <c r="L84" s="5">
        <f t="shared" si="39"/>
        <v>1.5234670159876016</v>
      </c>
      <c r="M84" s="6">
        <f t="shared" si="41"/>
        <v>0.12840860542104782</v>
      </c>
      <c r="N84" s="42"/>
    </row>
    <row r="85" spans="1:14" ht="13.5" customHeight="1" x14ac:dyDescent="0.2">
      <c r="A85" s="12" t="s">
        <v>85</v>
      </c>
      <c r="C85" s="36" t="s">
        <v>84</v>
      </c>
      <c r="D85" s="33" t="s">
        <v>35</v>
      </c>
      <c r="E85" s="36" t="s">
        <v>27</v>
      </c>
      <c r="G85" s="39" t="str">
        <f>H8</f>
        <v>Smpl14</v>
      </c>
      <c r="H85" s="149">
        <f>AVERAGE(H64:H65)</f>
        <v>25.206156255007183</v>
      </c>
      <c r="I85" s="40">
        <f>AVERAGE(H43:H44)*100</f>
        <v>22.135563651290475</v>
      </c>
      <c r="J85" s="41" t="str">
        <f>H9</f>
        <v>2</v>
      </c>
      <c r="K85" s="6">
        <f>STDEV(H64:H65)</f>
        <v>0.27652556933526012</v>
      </c>
      <c r="L85" s="5">
        <f t="shared" si="39"/>
        <v>1.0970556817060457</v>
      </c>
      <c r="M85" s="6">
        <f t="shared" si="41"/>
        <v>0.19553310524843323</v>
      </c>
      <c r="N85" s="42"/>
    </row>
    <row r="86" spans="1:14" ht="13.5" customHeight="1" x14ac:dyDescent="0.2">
      <c r="B86" s="36" t="s">
        <v>36</v>
      </c>
      <c r="C86" s="38">
        <f>EXP((E86-$C$81)/$C$82)</f>
        <v>15.654691471784838</v>
      </c>
      <c r="D86" s="49">
        <v>20</v>
      </c>
      <c r="E86" s="37">
        <f>LN((D86/100)/(1-(D86/100)))</f>
        <v>-1.3862943611198906</v>
      </c>
      <c r="G86" s="39" t="str">
        <f>H10</f>
        <v>Smpl15</v>
      </c>
      <c r="H86" s="149">
        <f>AVERAGE(H66:H67)</f>
        <v>24.695189298374821</v>
      </c>
      <c r="I86" s="40">
        <f>AVERAGE(H45:H46)*100</f>
        <v>22.350617090183604</v>
      </c>
      <c r="J86" s="41" t="str">
        <f>H11</f>
        <v>2</v>
      </c>
      <c r="K86" s="6">
        <f>STDEV(H66:H67)</f>
        <v>0.9991419693292547</v>
      </c>
      <c r="L86" s="5">
        <f t="shared" si="39"/>
        <v>4.0458971877369159</v>
      </c>
      <c r="M86" s="6">
        <f t="shared" si="41"/>
        <v>0.70650006188079739</v>
      </c>
      <c r="N86" s="42"/>
    </row>
    <row r="87" spans="1:14" ht="13.5" customHeight="1" x14ac:dyDescent="0.2">
      <c r="B87" s="50" t="s">
        <v>37</v>
      </c>
      <c r="C87" s="45">
        <f>EXP((E87-$C$81)/$C$82)</f>
        <v>1.5087969215506933</v>
      </c>
      <c r="D87" s="51">
        <v>50</v>
      </c>
      <c r="E87" s="44">
        <f>LN((D87/100)/(1-(D87/100)))</f>
        <v>0</v>
      </c>
      <c r="G87" s="35" t="str">
        <f>H12</f>
        <v>Smpl16</v>
      </c>
      <c r="H87" s="149">
        <f>AVERAGE(H68:H69)</f>
        <v>23.505386680894368</v>
      </c>
      <c r="I87" s="40">
        <f>AVERAGE(H47:H48)*100</f>
        <v>22.878743061696944</v>
      </c>
      <c r="J87" s="41" t="str">
        <f>H13</f>
        <v>2</v>
      </c>
      <c r="K87" s="6">
        <f>STDEV(H68:H69)</f>
        <v>1.8696028430188245</v>
      </c>
      <c r="L87" s="5">
        <f t="shared" si="39"/>
        <v>7.9539335744622051</v>
      </c>
      <c r="M87" s="6">
        <f t="shared" si="41"/>
        <v>1.3220088484242589</v>
      </c>
      <c r="N87" s="42"/>
    </row>
    <row r="88" spans="1:14" ht="13.5" customHeight="1" x14ac:dyDescent="0.2">
      <c r="B88" s="52" t="s">
        <v>38</v>
      </c>
      <c r="C88" s="47">
        <f>EXP((E88-$C$81)/$C$82)</f>
        <v>0.1454176311672338</v>
      </c>
      <c r="D88" s="53">
        <v>80</v>
      </c>
      <c r="E88" s="46">
        <f>LN((D88/100)/(1-(D88/100)))</f>
        <v>1.3862943611198908</v>
      </c>
      <c r="G88" s="35" t="str">
        <f>I6</f>
        <v>Smpl17</v>
      </c>
      <c r="H88" s="149">
        <f>AVERAGE(I62:I63)</f>
        <v>124.6723736695226</v>
      </c>
      <c r="I88" s="40">
        <f>AVERAGE(I41:I42)*100</f>
        <v>9.9454292466640304</v>
      </c>
      <c r="J88" s="41" t="str">
        <f>I7</f>
        <v>2</v>
      </c>
      <c r="K88" s="6">
        <f>STDEV(I62:I63)</f>
        <v>11.26910952917255</v>
      </c>
      <c r="L88" s="5">
        <f t="shared" si="39"/>
        <v>9.0389788832001638</v>
      </c>
      <c r="M88" s="6">
        <f t="shared" si="41"/>
        <v>7.9684637660118511</v>
      </c>
      <c r="N88" s="42"/>
    </row>
    <row r="89" spans="1:14" ht="13.5" customHeight="1" x14ac:dyDescent="0.2">
      <c r="G89" s="54" t="str">
        <f>I8</f>
        <v>Smpl18</v>
      </c>
      <c r="H89" s="149">
        <f>AVERAGE(I64:I65)</f>
        <v>13.491032180258699</v>
      </c>
      <c r="I89" s="40">
        <f>AVERAGE(I43:I44)*100</f>
        <v>29.164415522481768</v>
      </c>
      <c r="J89" s="41" t="str">
        <f>I9</f>
        <v>2</v>
      </c>
      <c r="K89" s="6">
        <f>STDEV(I64:I65)</f>
        <v>3.528073146600566E-2</v>
      </c>
      <c r="L89" s="5">
        <f t="shared" si="39"/>
        <v>0.26151246987336985</v>
      </c>
      <c r="M89" s="6">
        <f t="shared" si="41"/>
        <v>2.4947244464834206E-2</v>
      </c>
      <c r="N89" s="42"/>
    </row>
    <row r="90" spans="1:14" ht="13.5" customHeight="1" x14ac:dyDescent="0.2">
      <c r="A90" s="12" t="s">
        <v>126</v>
      </c>
      <c r="B90" s="164" t="str">
        <f ca="1">TEXT(MID(CELL("filename",B47),FIND("[",CELL("filename",B47))+1,(FIND("]",CELL("filename",B47))-4)-(FIND("[",CELL("filename",B47))+1)),0)</f>
        <v>ELISADouble.</v>
      </c>
      <c r="C90" s="165" t="str">
        <f ca="1">TEXT(MID(CELL("filename",C47),FIND("[",CELL("filename",C47))+1,(FIND("]",CELL("filename",C47))-4)-(FIND("[",CELL("filename",C47))+1)),0)</f>
        <v>ELISADouble.</v>
      </c>
      <c r="G90" s="54" t="str">
        <f>I10</f>
        <v>Smpl19</v>
      </c>
      <c r="H90" s="149">
        <f>AVERAGE(I66:I67)</f>
        <v>13.503491421699179</v>
      </c>
      <c r="I90" s="40">
        <f>AVERAGE(I45:I46)*100</f>
        <v>29.153096920434763</v>
      </c>
      <c r="J90" s="41" t="str">
        <f>I11</f>
        <v>2</v>
      </c>
      <c r="K90" s="6">
        <f>STDEV(I66:I67)</f>
        <v>1.7660703243996934E-2</v>
      </c>
      <c r="L90" s="5">
        <f t="shared" si="39"/>
        <v>0.13078619960181115</v>
      </c>
      <c r="M90" s="6">
        <f t="shared" si="41"/>
        <v>1.2488003024353489E-2</v>
      </c>
      <c r="N90" s="42"/>
    </row>
    <row r="91" spans="1:14" ht="13.5" customHeight="1" x14ac:dyDescent="0.2">
      <c r="G91" s="54" t="str">
        <f>I12</f>
        <v>Smpl20</v>
      </c>
      <c r="H91" s="149">
        <f>AVERAGE(I68:I69)</f>
        <v>68.309287370017316</v>
      </c>
      <c r="I91" s="40">
        <f>AVERAGE(I47:I48)*100</f>
        <v>18.090974395813024</v>
      </c>
      <c r="J91" s="41" t="str">
        <f>I13</f>
        <v>2</v>
      </c>
      <c r="K91" s="6">
        <f>STDEV(I68:I69)</f>
        <v>71.677317944328848</v>
      </c>
      <c r="L91" s="5">
        <f t="shared" si="39"/>
        <v>104.93056025612975</v>
      </c>
      <c r="M91" s="6">
        <f t="shared" si="41"/>
        <v>50.683517575699135</v>
      </c>
      <c r="N91" s="42"/>
    </row>
    <row r="92" spans="1:14" ht="13.5" customHeight="1" x14ac:dyDescent="0.2">
      <c r="A92" s="12" t="s">
        <v>135</v>
      </c>
      <c r="B92" s="164" t="s">
        <v>395</v>
      </c>
      <c r="C92" s="165"/>
      <c r="G92" s="54" t="str">
        <f>J6</f>
        <v>Smpl21</v>
      </c>
      <c r="H92" s="149">
        <f>AVERAGE(J62:J63)</f>
        <v>58.757162510881592</v>
      </c>
      <c r="I92" s="40">
        <f>AVERAGE(J41:J42)*100</f>
        <v>14.687923504359922</v>
      </c>
      <c r="J92" s="41" t="str">
        <f>J7</f>
        <v>2</v>
      </c>
      <c r="K92" s="6">
        <f>STDEV(J62:J63)</f>
        <v>0.63331668870611657</v>
      </c>
      <c r="L92" s="5">
        <f t="shared" si="39"/>
        <v>1.0778544464069872</v>
      </c>
      <c r="M92" s="6">
        <f t="shared" si="41"/>
        <v>0.44782252522270477</v>
      </c>
      <c r="N92" s="42"/>
    </row>
    <row r="93" spans="1:14" ht="13.5" customHeight="1" x14ac:dyDescent="0.2">
      <c r="G93" s="54" t="str">
        <f>J8</f>
        <v>Smpl22</v>
      </c>
      <c r="H93" s="149">
        <f>AVERAGE(J64:J65)</f>
        <v>22.445360738504302</v>
      </c>
      <c r="I93" s="40">
        <f>AVERAGE(J43:J44)*100</f>
        <v>23.369291274414223</v>
      </c>
      <c r="J93" s="41" t="str">
        <f>J9</f>
        <v>2</v>
      </c>
      <c r="K93" s="6">
        <f>STDEV(J64:J65)</f>
        <v>1.961598376295818</v>
      </c>
      <c r="L93" s="5">
        <f t="shared" si="39"/>
        <v>8.739437958467553</v>
      </c>
      <c r="M93" s="6">
        <f t="shared" si="41"/>
        <v>1.3870595138432937</v>
      </c>
      <c r="N93" s="42"/>
    </row>
    <row r="94" spans="1:14" ht="13.5" customHeight="1" x14ac:dyDescent="0.2">
      <c r="G94" s="54" t="str">
        <f>J10</f>
        <v>Smpl23</v>
      </c>
      <c r="H94" s="149">
        <f>AVERAGE(J66:J67)</f>
        <v>2.8886049804664715</v>
      </c>
      <c r="I94" s="40">
        <f>AVERAGE(J45:J46)*100</f>
        <v>50.726352422029933</v>
      </c>
      <c r="J94" s="41" t="str">
        <f>J11</f>
        <v>2</v>
      </c>
      <c r="K94" s="6">
        <f>STDEV(J66:J67)</f>
        <v>0.42317790253828574</v>
      </c>
      <c r="L94" s="5">
        <f t="shared" si="39"/>
        <v>14.649905591104675</v>
      </c>
      <c r="M94" s="6">
        <f t="shared" si="41"/>
        <v>0.29923196453312173</v>
      </c>
      <c r="N94" s="42"/>
    </row>
    <row r="95" spans="1:14" ht="13.5" customHeight="1" x14ac:dyDescent="0.2">
      <c r="G95" s="54" t="str">
        <f>J12</f>
        <v>Smpl24</v>
      </c>
      <c r="H95" s="149">
        <f>AVERAGE(J68:J69)</f>
        <v>0.70154785642011785</v>
      </c>
      <c r="I95" s="40">
        <f>AVERAGE(J47:J48)*100</f>
        <v>70.36412697358692</v>
      </c>
      <c r="J95" s="41" t="str">
        <f>J13</f>
        <v>2</v>
      </c>
      <c r="K95" s="6">
        <f>STDEV(J68:J69)</f>
        <v>2.8165417897359445E-2</v>
      </c>
      <c r="L95" s="5">
        <f t="shared" si="39"/>
        <v>4.014753610834604</v>
      </c>
      <c r="M95" s="6">
        <f t="shared" si="41"/>
        <v>1.9915957990175814E-2</v>
      </c>
      <c r="N95" s="42"/>
    </row>
    <row r="96" spans="1:14" ht="13.5" customHeight="1" x14ac:dyDescent="0.2">
      <c r="G96" s="54" t="str">
        <f>K6</f>
        <v>Smpl25</v>
      </c>
      <c r="H96" s="149">
        <f>AVERAGE(K62:K63)</f>
        <v>21.309463427084935</v>
      </c>
      <c r="I96" s="40">
        <f>AVERAGE(K41:K42)*100</f>
        <v>23.923902774717565</v>
      </c>
      <c r="J96" s="41" t="str">
        <f>K7</f>
        <v>2</v>
      </c>
      <c r="K96" s="6">
        <f>STDEV(K62:K63)</f>
        <v>1.832471656102542</v>
      </c>
      <c r="L96" s="5">
        <f t="shared" si="39"/>
        <v>8.5993326972908122</v>
      </c>
      <c r="M96" s="6">
        <f t="shared" si="41"/>
        <v>1.2957531343622504</v>
      </c>
      <c r="N96" s="42"/>
    </row>
    <row r="97" spans="7:14" ht="13.5" customHeight="1" x14ac:dyDescent="0.2">
      <c r="G97" s="54" t="str">
        <f>K8</f>
        <v>Smpl26</v>
      </c>
      <c r="H97" s="149">
        <f>AVERAGE(K64:K65)</f>
        <v>7.2497449287474751</v>
      </c>
      <c r="I97" s="40">
        <f>AVERAGE(K43:K44)*100</f>
        <v>37.438313618843821</v>
      </c>
      <c r="J97" s="41" t="str">
        <f>K9</f>
        <v>2</v>
      </c>
      <c r="K97" s="6">
        <f>STDEV(K64:K65)</f>
        <v>1.3474888806417407</v>
      </c>
      <c r="L97" s="5">
        <f t="shared" si="39"/>
        <v>18.586707448127335</v>
      </c>
      <c r="M97" s="6">
        <f t="shared" si="41"/>
        <v>0.95281852507524512</v>
      </c>
      <c r="N97" s="42"/>
    </row>
    <row r="98" spans="7:14" ht="13.5" customHeight="1" x14ac:dyDescent="0.2">
      <c r="G98" s="54" t="str">
        <f>K10</f>
        <v>Smpl27</v>
      </c>
      <c r="H98" s="149">
        <f>AVERAGE(K66:K67)</f>
        <v>3.1563693062771705</v>
      </c>
      <c r="I98" s="40">
        <f>AVERAGE(K45:K46)*100</f>
        <v>49.334164370248082</v>
      </c>
      <c r="J98" s="41" t="str">
        <f>K11</f>
        <v>2</v>
      </c>
      <c r="K98" s="6">
        <f>STDEV(K66:K67)</f>
        <v>2.3877380567261935E-2</v>
      </c>
      <c r="L98" s="5">
        <f t="shared" si="39"/>
        <v>0.75648247243363564</v>
      </c>
      <c r="M98" s="6">
        <f t="shared" si="41"/>
        <v>1.6883857716082806E-2</v>
      </c>
      <c r="N98" s="42"/>
    </row>
    <row r="99" spans="7:14" ht="13.5" customHeight="1" x14ac:dyDescent="0.2">
      <c r="G99" s="54" t="str">
        <f>K12</f>
        <v>Smpl28</v>
      </c>
      <c r="H99" s="149">
        <f>AVERAGE(K68:K69)</f>
        <v>1.0065861849401152</v>
      </c>
      <c r="I99" s="40">
        <f>AVERAGE(K47:K48)*100</f>
        <v>65.723500134314065</v>
      </c>
      <c r="J99" s="41" t="str">
        <f>K13</f>
        <v>2</v>
      </c>
      <c r="K99" s="6">
        <f>STDEV(K68:K69)</f>
        <v>5.9112064291266121E-2</v>
      </c>
      <c r="L99" s="5">
        <f t="shared" si="39"/>
        <v>5.8725288679362189</v>
      </c>
      <c r="M99" s="6">
        <f t="shared" si="41"/>
        <v>4.1798541510289437E-2</v>
      </c>
      <c r="N99" s="42"/>
    </row>
    <row r="100" spans="7:14" ht="13.5" customHeight="1" x14ac:dyDescent="0.2">
      <c r="G100" s="54" t="str">
        <f>L6</f>
        <v>Smpl29</v>
      </c>
      <c r="H100" s="149">
        <f>AVERAGE(L62:L63)</f>
        <v>20.509614996649066</v>
      </c>
      <c r="I100" s="40">
        <f>AVERAGE(L41:L42)*100</f>
        <v>24.523788683208931</v>
      </c>
      <c r="J100" s="41" t="str">
        <f>L7</f>
        <v>2</v>
      </c>
      <c r="K100" s="6">
        <f>STDEV(L62:L63)</f>
        <v>4.9571732891428963</v>
      </c>
      <c r="L100" s="5">
        <f t="shared" si="39"/>
        <v>24.169996803708003</v>
      </c>
      <c r="M100" s="6">
        <f t="shared" si="41"/>
        <v>3.505250848269764</v>
      </c>
      <c r="N100" s="42"/>
    </row>
    <row r="101" spans="7:14" ht="13.5" customHeight="1" x14ac:dyDescent="0.2">
      <c r="G101" s="54" t="str">
        <f>L8</f>
        <v>Smpl30</v>
      </c>
      <c r="H101" s="149">
        <f>AVERAGE(L64:L65)</f>
        <v>8.511382463926509</v>
      </c>
      <c r="I101" s="40">
        <f>AVERAGE(L43:L44)*100</f>
        <v>35.163274607395437</v>
      </c>
      <c r="J101" s="41" t="str">
        <f>L9</f>
        <v>2</v>
      </c>
      <c r="K101" s="6">
        <f>STDEV(L64:L65)</f>
        <v>1.0364240812917276</v>
      </c>
      <c r="L101" s="5">
        <f t="shared" si="39"/>
        <v>12.176918211399466</v>
      </c>
      <c r="M101" s="6">
        <f t="shared" si="41"/>
        <v>0.73286249606641807</v>
      </c>
      <c r="N101" s="42"/>
    </row>
    <row r="102" spans="7:14" ht="13.5" customHeight="1" x14ac:dyDescent="0.2">
      <c r="G102" s="54" t="str">
        <f>L10</f>
        <v>Smpl31</v>
      </c>
      <c r="H102" s="149">
        <f>AVERAGE(L66:L67)</f>
        <v>2.7573356312698514</v>
      </c>
      <c r="I102" s="40">
        <f>AVERAGE(L45:L46)*100</f>
        <v>51.337556932568305</v>
      </c>
      <c r="J102" s="41" t="str">
        <f>L11</f>
        <v>2</v>
      </c>
      <c r="K102" s="6">
        <f>STDEV(L66:L67)</f>
        <v>5.9624842614265872E-2</v>
      </c>
      <c r="L102" s="5">
        <f t="shared" si="39"/>
        <v>2.1624078671484219</v>
      </c>
      <c r="M102" s="6">
        <f t="shared" si="41"/>
        <v>4.2161130539728031E-2</v>
      </c>
      <c r="N102" s="42"/>
    </row>
    <row r="103" spans="7:14" ht="13.5" customHeight="1" x14ac:dyDescent="0.2">
      <c r="G103" s="54" t="str">
        <f>L12</f>
        <v>Smpl32</v>
      </c>
      <c r="H103" s="149">
        <f>AVERAGE(L68:L69)</f>
        <v>4.7972174540536336</v>
      </c>
      <c r="I103" s="40">
        <f>AVERAGE(L47:L48)*100</f>
        <v>43.342775562685446</v>
      </c>
      <c r="J103" s="41" t="str">
        <f>L13</f>
        <v>2</v>
      </c>
      <c r="K103" s="6">
        <f>STDEV(L68:L69)</f>
        <v>0.98570064330827767</v>
      </c>
      <c r="L103" s="5">
        <f t="shared" si="39"/>
        <v>20.547341302516188</v>
      </c>
      <c r="M103" s="6">
        <f t="shared" si="41"/>
        <v>0.69699560910322533</v>
      </c>
      <c r="N103" s="42"/>
    </row>
    <row r="104" spans="7:14" ht="13.5" customHeight="1" x14ac:dyDescent="0.2">
      <c r="G104" s="54" t="str">
        <f>M6</f>
        <v>Smpl33</v>
      </c>
      <c r="H104" s="149">
        <f>AVERAGE(M62:M63)</f>
        <v>10.506665198670856</v>
      </c>
      <c r="I104" s="40">
        <f>AVERAGE(M41:M42)*100</f>
        <v>32.322305493596701</v>
      </c>
      <c r="J104" s="41" t="str">
        <f>M7</f>
        <v>2</v>
      </c>
      <c r="K104" s="6">
        <f>STDEV(M62:M63)</f>
        <v>0.4021175617013813</v>
      </c>
      <c r="L104" s="5">
        <f t="shared" si="39"/>
        <v>3.8272615915490591</v>
      </c>
      <c r="M104" s="6">
        <f t="shared" si="41"/>
        <v>0.28434005471324664</v>
      </c>
      <c r="N104" s="42"/>
    </row>
    <row r="105" spans="7:14" ht="13.5" customHeight="1" x14ac:dyDescent="0.2">
      <c r="G105" s="54" t="str">
        <f>M8</f>
        <v>Smpl34</v>
      </c>
      <c r="H105" s="149">
        <f>AVERAGE(M64:M65)</f>
        <v>58.223213675301153</v>
      </c>
      <c r="I105" s="40">
        <f>AVERAGE(M43:M44)*100</f>
        <v>14.755835116641968</v>
      </c>
      <c r="J105" s="41" t="str">
        <f>M9</f>
        <v>2</v>
      </c>
      <c r="K105" s="6">
        <f>STDEV(M64:M65)</f>
        <v>0.62517096105491887</v>
      </c>
      <c r="L105" s="5">
        <f t="shared" si="39"/>
        <v>1.0737486332193347</v>
      </c>
      <c r="M105" s="6">
        <f t="shared" si="41"/>
        <v>0.44206262596284412</v>
      </c>
    </row>
    <row r="106" spans="7:14" ht="13.5" customHeight="1" x14ac:dyDescent="0.2">
      <c r="G106" s="55"/>
      <c r="H106" s="150"/>
      <c r="I106" s="56"/>
      <c r="J106" s="56"/>
      <c r="K106" s="56"/>
      <c r="L106" s="56"/>
      <c r="M106" s="57"/>
      <c r="N106" s="35" t="s">
        <v>79</v>
      </c>
    </row>
    <row r="107" spans="7:14" ht="13.5" customHeight="1" x14ac:dyDescent="0.2">
      <c r="G107" s="58" t="str">
        <f>M10</f>
        <v>Ctrl1</v>
      </c>
      <c r="H107" s="151">
        <f>AVERAGE(M66:M67)</f>
        <v>4.8296861530934807</v>
      </c>
      <c r="I107" s="59">
        <f>AVERAGE(M45:M46)*100</f>
        <v>33.431528494203377</v>
      </c>
      <c r="J107" s="60" t="str">
        <f>M11</f>
        <v>1</v>
      </c>
      <c r="K107" s="10">
        <f>STDEV(M66:M67)</f>
        <v>0.30465648140582458</v>
      </c>
      <c r="L107" s="9">
        <f>(K107/H107)*100</f>
        <v>6.3079974919423671</v>
      </c>
      <c r="M107" s="10">
        <f>K107/SQRT(5)</f>
        <v>0.13624652044186489</v>
      </c>
      <c r="N107" s="8">
        <f>ABS(100-(H107/(B72/5))*100)</f>
        <v>75.85156923453259</v>
      </c>
    </row>
    <row r="108" spans="7:14" ht="13.5" customHeight="1" x14ac:dyDescent="0.2">
      <c r="G108" s="58" t="str">
        <f>M12</f>
        <v>Ctrl2</v>
      </c>
      <c r="H108" s="152">
        <f>AVERAGE(M68:M69)</f>
        <v>0.61151856224262424</v>
      </c>
      <c r="I108" s="61">
        <f>AVERAGE(M47:M48)*100</f>
        <v>63.312637898301617</v>
      </c>
      <c r="J108" s="62" t="str">
        <f>M13</f>
        <v>1</v>
      </c>
      <c r="K108" s="8">
        <f>STDEV(M68:M69)</f>
        <v>0.17558462282722315</v>
      </c>
      <c r="L108" s="7">
        <f>(K108/H108)*100</f>
        <v>28.712885212069612</v>
      </c>
      <c r="M108" s="8">
        <f>K108/SQRT(5)</f>
        <v>7.8523830489066443E-2</v>
      </c>
      <c r="N108" s="8">
        <f>ABS(100-(H108/(B74/5))*100)</f>
        <v>72.481664699081904</v>
      </c>
    </row>
    <row r="109" spans="7:14" x14ac:dyDescent="0.2">
      <c r="H109" s="63"/>
      <c r="I109" s="31" t="s">
        <v>78</v>
      </c>
    </row>
    <row r="198" spans="24:35" x14ac:dyDescent="0.2">
      <c r="X198" s="157"/>
      <c r="Y198" s="65"/>
      <c r="Z198" s="65"/>
      <c r="AA198" s="65"/>
      <c r="AB198" s="65"/>
      <c r="AC198" s="65"/>
      <c r="AD198" s="159"/>
      <c r="AE198" s="65"/>
      <c r="AG198" s="156"/>
      <c r="AH198" s="160"/>
      <c r="AI198" s="42"/>
    </row>
    <row r="201" spans="24:35" x14ac:dyDescent="0.2">
      <c r="X201" s="64" t="s">
        <v>88</v>
      </c>
      <c r="Y201" s="65"/>
      <c r="Z201" s="65"/>
      <c r="AA201" s="65"/>
      <c r="AB201" s="65"/>
      <c r="AC201" s="65"/>
      <c r="AD201" s="64" t="s">
        <v>16</v>
      </c>
      <c r="AE201" s="64" t="s">
        <v>89</v>
      </c>
      <c r="AF201" s="12" t="s">
        <v>90</v>
      </c>
      <c r="AG201" s="12"/>
      <c r="AH201" s="154" t="s">
        <v>134</v>
      </c>
      <c r="AI201" s="66" t="s">
        <v>133</v>
      </c>
    </row>
    <row r="202" spans="24:35" x14ac:dyDescent="0.2">
      <c r="X202" s="157" t="s">
        <v>346</v>
      </c>
      <c r="Y202" s="65"/>
      <c r="Z202" s="65"/>
      <c r="AA202" s="65"/>
      <c r="AB202" s="65"/>
      <c r="AC202" s="65"/>
      <c r="AD202" s="159">
        <v>100</v>
      </c>
      <c r="AE202" s="65" t="s">
        <v>98</v>
      </c>
      <c r="AF202" s="13" t="s">
        <v>325</v>
      </c>
      <c r="AG202" s="155"/>
      <c r="AH202" s="160" t="s">
        <v>313</v>
      </c>
      <c r="AI202" s="42">
        <v>3</v>
      </c>
    </row>
    <row r="203" spans="24:35" x14ac:dyDescent="0.2">
      <c r="X203" s="157" t="s">
        <v>355</v>
      </c>
      <c r="Y203" s="65"/>
      <c r="Z203" s="65"/>
      <c r="AA203" s="65"/>
      <c r="AB203" s="65"/>
      <c r="AC203" s="65"/>
      <c r="AD203" s="159">
        <v>100</v>
      </c>
      <c r="AE203" s="65" t="s">
        <v>98</v>
      </c>
      <c r="AF203" s="13" t="s">
        <v>327</v>
      </c>
      <c r="AG203" s="155"/>
      <c r="AH203" s="160" t="s">
        <v>312</v>
      </c>
      <c r="AI203" s="42">
        <v>2</v>
      </c>
    </row>
    <row r="204" spans="24:35" x14ac:dyDescent="0.2">
      <c r="X204" s="157" t="s">
        <v>244</v>
      </c>
      <c r="Y204" s="65"/>
      <c r="Z204" s="65"/>
      <c r="AA204" s="65"/>
      <c r="AB204" s="65"/>
      <c r="AC204" s="65"/>
      <c r="AD204" s="159">
        <v>2000</v>
      </c>
      <c r="AE204" s="65" t="s">
        <v>91</v>
      </c>
      <c r="AF204" s="13" t="s">
        <v>93</v>
      </c>
      <c r="AG204" s="155"/>
      <c r="AH204" s="160" t="s">
        <v>241</v>
      </c>
      <c r="AI204" s="42">
        <v>2</v>
      </c>
    </row>
    <row r="205" spans="24:35" x14ac:dyDescent="0.2">
      <c r="X205" s="157" t="s">
        <v>245</v>
      </c>
      <c r="Y205" s="65"/>
      <c r="Z205" s="65"/>
      <c r="AA205" s="65"/>
      <c r="AB205" s="65"/>
      <c r="AC205" s="65"/>
      <c r="AD205" s="159">
        <v>100</v>
      </c>
      <c r="AE205" s="65" t="s">
        <v>91</v>
      </c>
      <c r="AF205" s="13" t="s">
        <v>94</v>
      </c>
      <c r="AG205" s="155"/>
      <c r="AH205" s="160" t="s">
        <v>138</v>
      </c>
      <c r="AI205" s="42">
        <v>2</v>
      </c>
    </row>
    <row r="206" spans="24:35" x14ac:dyDescent="0.2">
      <c r="X206" s="157" t="s">
        <v>246</v>
      </c>
      <c r="Y206" s="65"/>
      <c r="Z206" s="65"/>
      <c r="AA206" s="65"/>
      <c r="AB206" s="65"/>
      <c r="AC206" s="65"/>
      <c r="AD206" s="159">
        <v>200</v>
      </c>
      <c r="AE206" s="65" t="s">
        <v>98</v>
      </c>
      <c r="AF206" s="13" t="s">
        <v>223</v>
      </c>
      <c r="AG206" s="155"/>
      <c r="AH206" s="160" t="s">
        <v>222</v>
      </c>
      <c r="AI206" s="42">
        <v>3.5</v>
      </c>
    </row>
    <row r="207" spans="24:35" x14ac:dyDescent="0.2">
      <c r="X207" s="157" t="s">
        <v>247</v>
      </c>
      <c r="Y207" s="65"/>
      <c r="Z207" s="65"/>
      <c r="AA207" s="65"/>
      <c r="AB207" s="65"/>
      <c r="AC207" s="65"/>
      <c r="AD207" s="159">
        <v>1000</v>
      </c>
      <c r="AE207" s="65" t="s">
        <v>91</v>
      </c>
      <c r="AF207" s="13" t="s">
        <v>92</v>
      </c>
      <c r="AG207" s="155"/>
      <c r="AH207" s="160" t="s">
        <v>137</v>
      </c>
      <c r="AI207" s="42">
        <v>2.5</v>
      </c>
    </row>
    <row r="208" spans="24:35" x14ac:dyDescent="0.2">
      <c r="X208" s="157" t="s">
        <v>354</v>
      </c>
      <c r="Y208" s="65"/>
      <c r="Z208" s="65"/>
      <c r="AA208" s="65"/>
      <c r="AB208" s="65"/>
      <c r="AC208" s="65"/>
      <c r="AD208" s="159">
        <v>200</v>
      </c>
      <c r="AE208" s="65" t="s">
        <v>98</v>
      </c>
      <c r="AF208" s="13" t="s">
        <v>347</v>
      </c>
      <c r="AG208" s="155"/>
      <c r="AH208" s="160" t="s">
        <v>348</v>
      </c>
      <c r="AI208" s="42">
        <v>3</v>
      </c>
    </row>
    <row r="209" spans="23:35" x14ac:dyDescent="0.2">
      <c r="X209" s="157" t="s">
        <v>248</v>
      </c>
      <c r="Y209" s="65"/>
      <c r="Z209" s="65"/>
      <c r="AA209" s="65"/>
      <c r="AB209" s="65"/>
      <c r="AC209" s="65"/>
      <c r="AD209" s="159">
        <v>5000</v>
      </c>
      <c r="AE209" s="65" t="s">
        <v>91</v>
      </c>
      <c r="AF209" s="13" t="s">
        <v>186</v>
      </c>
      <c r="AG209" s="156"/>
      <c r="AH209" s="161" t="s">
        <v>185</v>
      </c>
      <c r="AI209" s="42">
        <v>3</v>
      </c>
    </row>
    <row r="210" spans="23:35" x14ac:dyDescent="0.2">
      <c r="X210" s="157" t="s">
        <v>322</v>
      </c>
      <c r="Y210" s="65"/>
      <c r="Z210" s="65"/>
      <c r="AA210" s="65"/>
      <c r="AB210" s="65"/>
      <c r="AC210" s="65"/>
      <c r="AD210" s="159">
        <v>2000</v>
      </c>
      <c r="AE210" s="65" t="s">
        <v>91</v>
      </c>
      <c r="AF210" s="13" t="s">
        <v>326</v>
      </c>
      <c r="AG210" s="156"/>
      <c r="AH210" s="161" t="s">
        <v>323</v>
      </c>
      <c r="AI210" s="42">
        <v>2.5</v>
      </c>
    </row>
    <row r="211" spans="23:35" x14ac:dyDescent="0.2">
      <c r="X211" s="157" t="s">
        <v>249</v>
      </c>
      <c r="Y211" s="65"/>
      <c r="Z211" s="65"/>
      <c r="AA211" s="65"/>
      <c r="AB211" s="65"/>
      <c r="AC211" s="65"/>
      <c r="AD211" s="159">
        <v>10000</v>
      </c>
      <c r="AE211" s="65" t="s">
        <v>91</v>
      </c>
      <c r="AF211" s="13" t="s">
        <v>132</v>
      </c>
      <c r="AG211" s="156"/>
      <c r="AH211" s="160" t="s">
        <v>139</v>
      </c>
      <c r="AI211" s="42">
        <v>2</v>
      </c>
    </row>
    <row r="212" spans="23:35" x14ac:dyDescent="0.2">
      <c r="X212" s="157" t="s">
        <v>250</v>
      </c>
      <c r="Y212" s="65"/>
      <c r="Z212" s="65"/>
      <c r="AA212" s="65"/>
      <c r="AB212" s="65"/>
      <c r="AC212" s="65"/>
      <c r="AD212" s="159">
        <v>200</v>
      </c>
      <c r="AE212" s="65" t="s">
        <v>91</v>
      </c>
      <c r="AF212" s="13" t="s">
        <v>218</v>
      </c>
      <c r="AG212" s="156"/>
      <c r="AH212" s="160" t="s">
        <v>144</v>
      </c>
      <c r="AI212" s="42">
        <v>2</v>
      </c>
    </row>
    <row r="213" spans="23:35" x14ac:dyDescent="0.2">
      <c r="X213" s="157" t="s">
        <v>339</v>
      </c>
      <c r="Y213" s="65"/>
      <c r="Z213" s="65"/>
      <c r="AA213" s="65"/>
      <c r="AB213" s="65"/>
      <c r="AC213" s="65"/>
      <c r="AD213" s="159">
        <v>100000</v>
      </c>
      <c r="AE213" s="65" t="s">
        <v>91</v>
      </c>
      <c r="AF213" s="13" t="s">
        <v>349</v>
      </c>
      <c r="AG213" s="155"/>
      <c r="AH213" s="160" t="s">
        <v>219</v>
      </c>
      <c r="AI213" s="42">
        <v>4</v>
      </c>
    </row>
    <row r="214" spans="23:35" x14ac:dyDescent="0.2">
      <c r="X214" s="157" t="s">
        <v>377</v>
      </c>
      <c r="Y214" s="65"/>
      <c r="Z214" s="65"/>
      <c r="AA214" s="65"/>
      <c r="AB214" s="65"/>
      <c r="AC214" s="65"/>
      <c r="AD214" s="159">
        <v>200</v>
      </c>
      <c r="AE214" s="65" t="s">
        <v>95</v>
      </c>
      <c r="AF214" s="13" t="s">
        <v>378</v>
      </c>
      <c r="AG214" s="156"/>
      <c r="AH214" s="160" t="s">
        <v>379</v>
      </c>
      <c r="AI214" s="42">
        <v>2.25</v>
      </c>
    </row>
    <row r="215" spans="23:35" x14ac:dyDescent="0.2">
      <c r="W215" s="13" t="s">
        <v>333</v>
      </c>
      <c r="X215" s="157" t="s">
        <v>251</v>
      </c>
      <c r="Y215" s="65"/>
      <c r="Z215" s="65"/>
      <c r="AA215" s="65"/>
      <c r="AB215" s="65"/>
      <c r="AC215" s="65"/>
      <c r="AD215" s="159">
        <v>5000</v>
      </c>
      <c r="AE215" s="65" t="s">
        <v>91</v>
      </c>
      <c r="AF215" s="13" t="s">
        <v>217</v>
      </c>
      <c r="AG215" s="156"/>
      <c r="AH215" s="161" t="s">
        <v>242</v>
      </c>
      <c r="AI215" s="42">
        <v>2</v>
      </c>
    </row>
    <row r="216" spans="23:35" x14ac:dyDescent="0.2">
      <c r="X216" s="157" t="s">
        <v>286</v>
      </c>
      <c r="Y216" s="65"/>
      <c r="Z216" s="65"/>
      <c r="AA216" s="65"/>
      <c r="AB216" s="65"/>
      <c r="AC216" s="65"/>
      <c r="AD216" s="159">
        <v>8000</v>
      </c>
      <c r="AE216" s="65" t="s">
        <v>91</v>
      </c>
      <c r="AF216" s="13" t="s">
        <v>196</v>
      </c>
      <c r="AG216" s="156"/>
      <c r="AH216" s="160" t="s">
        <v>197</v>
      </c>
      <c r="AI216" s="42">
        <v>2.5</v>
      </c>
    </row>
    <row r="217" spans="23:35" x14ac:dyDescent="0.2">
      <c r="X217" s="157" t="s">
        <v>372</v>
      </c>
      <c r="Y217" s="65"/>
      <c r="Z217" s="65"/>
      <c r="AA217" s="65"/>
      <c r="AB217" s="65"/>
      <c r="AC217" s="65"/>
      <c r="AD217" s="159">
        <v>1000</v>
      </c>
      <c r="AE217" s="65" t="s">
        <v>131</v>
      </c>
      <c r="AF217" s="13" t="s">
        <v>373</v>
      </c>
      <c r="AG217" s="156"/>
      <c r="AH217" s="160" t="s">
        <v>374</v>
      </c>
      <c r="AI217" s="42">
        <v>2</v>
      </c>
    </row>
    <row r="218" spans="23:35" x14ac:dyDescent="0.2">
      <c r="X218" s="157" t="s">
        <v>353</v>
      </c>
      <c r="Y218" s="65"/>
      <c r="Z218" s="65"/>
      <c r="AA218" s="65"/>
      <c r="AB218" s="65"/>
      <c r="AC218" s="65"/>
      <c r="AD218" s="159">
        <v>10000</v>
      </c>
      <c r="AE218" s="65" t="s">
        <v>131</v>
      </c>
      <c r="AF218" s="13" t="s">
        <v>350</v>
      </c>
      <c r="AG218" s="156"/>
      <c r="AH218" s="160" t="s">
        <v>351</v>
      </c>
      <c r="AI218" s="42">
        <v>2</v>
      </c>
    </row>
    <row r="219" spans="23:35" x14ac:dyDescent="0.2">
      <c r="X219" s="157" t="s">
        <v>311</v>
      </c>
      <c r="Y219" s="65"/>
      <c r="Z219" s="65"/>
      <c r="AA219" s="65"/>
      <c r="AB219" s="65"/>
      <c r="AC219" s="65"/>
      <c r="AD219" s="159">
        <v>1000</v>
      </c>
      <c r="AE219" s="65" t="s">
        <v>91</v>
      </c>
      <c r="AF219" s="13" t="s">
        <v>99</v>
      </c>
      <c r="AG219" s="155"/>
      <c r="AH219" s="160" t="s">
        <v>140</v>
      </c>
      <c r="AI219" s="42">
        <v>2.5</v>
      </c>
    </row>
    <row r="220" spans="23:35" x14ac:dyDescent="0.2">
      <c r="X220" s="157" t="s">
        <v>253</v>
      </c>
      <c r="Y220" s="65"/>
      <c r="Z220" s="65"/>
      <c r="AA220" s="65"/>
      <c r="AB220" s="65"/>
      <c r="AC220" s="65"/>
      <c r="AD220" s="159">
        <v>1500</v>
      </c>
      <c r="AE220" s="65" t="s">
        <v>91</v>
      </c>
      <c r="AF220" s="13" t="s">
        <v>204</v>
      </c>
      <c r="AG220" s="155"/>
      <c r="AH220" s="160" t="s">
        <v>205</v>
      </c>
      <c r="AI220" s="42">
        <v>2.5</v>
      </c>
    </row>
    <row r="221" spans="23:35" x14ac:dyDescent="0.2">
      <c r="X221" s="157" t="s">
        <v>254</v>
      </c>
      <c r="Y221" s="65"/>
      <c r="Z221" s="65"/>
      <c r="AA221" s="65"/>
      <c r="AB221" s="65"/>
      <c r="AC221" s="65"/>
      <c r="AD221" s="159">
        <v>3000</v>
      </c>
      <c r="AE221" s="65" t="s">
        <v>91</v>
      </c>
      <c r="AF221" s="13" t="s">
        <v>166</v>
      </c>
      <c r="AG221" s="155"/>
      <c r="AH221" s="160" t="s">
        <v>167</v>
      </c>
      <c r="AI221" s="42">
        <v>2.5</v>
      </c>
    </row>
    <row r="222" spans="23:35" x14ac:dyDescent="0.2">
      <c r="X222" s="157" t="s">
        <v>252</v>
      </c>
      <c r="Y222" s="65"/>
      <c r="Z222" s="65"/>
      <c r="AA222" s="65"/>
      <c r="AB222" s="65"/>
      <c r="AC222" s="65"/>
      <c r="AD222" s="159">
        <v>500</v>
      </c>
      <c r="AE222" s="65" t="s">
        <v>91</v>
      </c>
      <c r="AF222" s="13" t="s">
        <v>100</v>
      </c>
      <c r="AG222" s="155"/>
      <c r="AH222" s="160" t="s">
        <v>141</v>
      </c>
      <c r="AI222" s="42">
        <v>2.5</v>
      </c>
    </row>
    <row r="223" spans="23:35" x14ac:dyDescent="0.2">
      <c r="W223" s="13" t="s">
        <v>333</v>
      </c>
      <c r="X223" s="157" t="s">
        <v>255</v>
      </c>
      <c r="Y223" s="65"/>
      <c r="Z223" s="65"/>
      <c r="AA223" s="65"/>
      <c r="AB223" s="65"/>
      <c r="AC223" s="65"/>
      <c r="AD223" s="159">
        <v>25</v>
      </c>
      <c r="AE223" s="65" t="s">
        <v>95</v>
      </c>
      <c r="AF223" s="13" t="s">
        <v>129</v>
      </c>
      <c r="AG223" s="155"/>
      <c r="AH223" s="160" t="s">
        <v>142</v>
      </c>
      <c r="AI223" s="42">
        <v>2</v>
      </c>
    </row>
    <row r="224" spans="23:35" x14ac:dyDescent="0.2">
      <c r="X224" s="157" t="s">
        <v>337</v>
      </c>
      <c r="Y224" s="65"/>
      <c r="Z224" s="65"/>
      <c r="AA224" s="65"/>
      <c r="AB224" s="65"/>
      <c r="AC224" s="65"/>
      <c r="AD224" s="159">
        <v>1000</v>
      </c>
      <c r="AE224" s="65" t="s">
        <v>98</v>
      </c>
      <c r="AF224" s="13" t="s">
        <v>345</v>
      </c>
      <c r="AG224" s="155"/>
      <c r="AH224" s="160" t="s">
        <v>338</v>
      </c>
      <c r="AI224" s="42">
        <v>2</v>
      </c>
    </row>
    <row r="225" spans="23:35" x14ac:dyDescent="0.2">
      <c r="X225" s="157" t="s">
        <v>257</v>
      </c>
      <c r="Y225" s="65"/>
      <c r="Z225" s="65"/>
      <c r="AA225" s="65"/>
      <c r="AB225" s="65"/>
      <c r="AC225" s="65"/>
      <c r="AD225" s="159">
        <v>2000</v>
      </c>
      <c r="AE225" s="65" t="s">
        <v>91</v>
      </c>
      <c r="AF225" s="13" t="s">
        <v>101</v>
      </c>
      <c r="AG225" s="155"/>
      <c r="AH225" s="160" t="s">
        <v>189</v>
      </c>
      <c r="AI225" s="42">
        <v>2</v>
      </c>
    </row>
    <row r="226" spans="23:35" x14ac:dyDescent="0.2">
      <c r="W226" s="13" t="s">
        <v>333</v>
      </c>
      <c r="X226" s="157" t="s">
        <v>259</v>
      </c>
      <c r="Y226" s="65"/>
      <c r="Z226" s="65"/>
      <c r="AA226" s="65"/>
      <c r="AB226" s="65"/>
      <c r="AC226" s="65"/>
      <c r="AD226" s="159">
        <v>2000</v>
      </c>
      <c r="AE226" s="65" t="s">
        <v>91</v>
      </c>
      <c r="AF226" s="13" t="s">
        <v>102</v>
      </c>
      <c r="AG226" s="156"/>
      <c r="AH226" s="160" t="s">
        <v>143</v>
      </c>
      <c r="AI226" s="42">
        <v>2</v>
      </c>
    </row>
    <row r="227" spans="23:35" x14ac:dyDescent="0.2">
      <c r="X227" s="157" t="s">
        <v>352</v>
      </c>
      <c r="Y227" s="65"/>
      <c r="Z227" s="65"/>
      <c r="AA227" s="65"/>
      <c r="AB227" s="65"/>
      <c r="AC227" s="65"/>
      <c r="AD227" s="159">
        <v>10000</v>
      </c>
      <c r="AE227" s="65" t="s">
        <v>131</v>
      </c>
      <c r="AF227" s="13" t="s">
        <v>356</v>
      </c>
      <c r="AG227" s="156"/>
      <c r="AH227" s="160" t="s">
        <v>357</v>
      </c>
      <c r="AI227" s="42">
        <v>3</v>
      </c>
    </row>
    <row r="228" spans="23:35" x14ac:dyDescent="0.2">
      <c r="W228" s="13" t="s">
        <v>258</v>
      </c>
      <c r="X228" s="157" t="s">
        <v>260</v>
      </c>
      <c r="Y228" s="65"/>
      <c r="Z228" s="65"/>
      <c r="AA228" s="65"/>
      <c r="AB228" s="65"/>
      <c r="AC228" s="65"/>
      <c r="AD228" s="159">
        <v>5000</v>
      </c>
      <c r="AE228" s="65" t="s">
        <v>91</v>
      </c>
      <c r="AF228" s="13" t="s">
        <v>127</v>
      </c>
      <c r="AG228" s="155"/>
      <c r="AH228" s="160" t="s">
        <v>256</v>
      </c>
      <c r="AI228" s="42">
        <v>2.5</v>
      </c>
    </row>
    <row r="229" spans="23:35" x14ac:dyDescent="0.2">
      <c r="X229" s="157" t="s">
        <v>262</v>
      </c>
      <c r="Y229" s="65"/>
      <c r="Z229" s="65"/>
      <c r="AA229" s="65"/>
      <c r="AB229" s="65"/>
      <c r="AC229" s="65"/>
      <c r="AD229" s="159">
        <v>5000</v>
      </c>
      <c r="AE229" s="65" t="s">
        <v>91</v>
      </c>
      <c r="AF229" s="13" t="s">
        <v>170</v>
      </c>
      <c r="AG229" s="155"/>
      <c r="AH229" s="160" t="s">
        <v>190</v>
      </c>
      <c r="AI229" s="42">
        <v>2</v>
      </c>
    </row>
    <row r="230" spans="23:35" x14ac:dyDescent="0.2">
      <c r="X230" s="157" t="s">
        <v>261</v>
      </c>
      <c r="Y230" s="65"/>
      <c r="Z230" s="65"/>
      <c r="AA230" s="65"/>
      <c r="AB230" s="65"/>
      <c r="AC230" s="65"/>
      <c r="AD230" s="159">
        <v>4000</v>
      </c>
      <c r="AE230" s="65" t="s">
        <v>91</v>
      </c>
      <c r="AF230" s="13" t="s">
        <v>136</v>
      </c>
      <c r="AG230" s="155"/>
      <c r="AH230" s="160" t="s">
        <v>178</v>
      </c>
      <c r="AI230" s="42">
        <v>2.5</v>
      </c>
    </row>
    <row r="231" spans="23:35" x14ac:dyDescent="0.2">
      <c r="X231" s="157" t="s">
        <v>310</v>
      </c>
      <c r="Y231" s="65"/>
      <c r="Z231" s="65"/>
      <c r="AA231" s="65"/>
      <c r="AB231" s="65"/>
      <c r="AC231" s="65"/>
      <c r="AD231" s="159">
        <v>500</v>
      </c>
      <c r="AE231" s="65" t="s">
        <v>91</v>
      </c>
      <c r="AF231" s="13" t="s">
        <v>239</v>
      </c>
      <c r="AG231" s="155"/>
      <c r="AH231" s="160" t="s">
        <v>240</v>
      </c>
      <c r="AI231" s="42">
        <v>2</v>
      </c>
    </row>
    <row r="232" spans="23:35" x14ac:dyDescent="0.2">
      <c r="X232" s="157" t="s">
        <v>263</v>
      </c>
      <c r="Y232" s="65"/>
      <c r="Z232" s="65"/>
      <c r="AA232" s="65"/>
      <c r="AB232" s="65"/>
      <c r="AC232" s="65"/>
      <c r="AD232" s="159">
        <v>500</v>
      </c>
      <c r="AE232" s="65" t="s">
        <v>91</v>
      </c>
      <c r="AF232" s="13" t="s">
        <v>233</v>
      </c>
      <c r="AG232" s="155"/>
      <c r="AH232" s="160" t="s">
        <v>234</v>
      </c>
      <c r="AI232" s="42">
        <v>2</v>
      </c>
    </row>
    <row r="233" spans="23:35" x14ac:dyDescent="0.2">
      <c r="X233" s="157" t="s">
        <v>265</v>
      </c>
      <c r="Y233" s="65"/>
      <c r="Z233" s="65"/>
      <c r="AA233" s="65"/>
      <c r="AB233" s="65"/>
      <c r="AC233" s="65"/>
      <c r="AD233" s="159">
        <v>500</v>
      </c>
      <c r="AE233" s="65" t="s">
        <v>91</v>
      </c>
      <c r="AF233" s="13" t="s">
        <v>237</v>
      </c>
      <c r="AG233" s="155"/>
      <c r="AH233" s="160" t="s">
        <v>238</v>
      </c>
      <c r="AI233" s="42">
        <v>2</v>
      </c>
    </row>
    <row r="234" spans="23:35" x14ac:dyDescent="0.2">
      <c r="X234" s="157" t="s">
        <v>264</v>
      </c>
      <c r="Y234" s="65"/>
      <c r="Z234" s="65"/>
      <c r="AA234" s="65"/>
      <c r="AB234" s="65"/>
      <c r="AC234" s="65"/>
      <c r="AD234" s="159">
        <v>500</v>
      </c>
      <c r="AE234" s="65" t="s">
        <v>91</v>
      </c>
      <c r="AF234" s="13" t="s">
        <v>235</v>
      </c>
      <c r="AG234" s="155"/>
      <c r="AH234" s="160" t="s">
        <v>236</v>
      </c>
      <c r="AI234" s="42">
        <v>2</v>
      </c>
    </row>
    <row r="235" spans="23:35" x14ac:dyDescent="0.2">
      <c r="X235" s="157" t="s">
        <v>358</v>
      </c>
      <c r="Y235" s="65"/>
      <c r="Z235" s="65"/>
      <c r="AA235" s="65"/>
      <c r="AB235" s="65"/>
      <c r="AC235" s="65"/>
      <c r="AD235" s="159">
        <v>35</v>
      </c>
      <c r="AE235" s="65" t="s">
        <v>232</v>
      </c>
      <c r="AF235" s="13" t="s">
        <v>369</v>
      </c>
      <c r="AG235" s="155"/>
      <c r="AH235" s="160" t="s">
        <v>359</v>
      </c>
      <c r="AI235" s="42">
        <v>2</v>
      </c>
    </row>
    <row r="236" spans="23:35" x14ac:dyDescent="0.2">
      <c r="X236" s="157" t="s">
        <v>266</v>
      </c>
      <c r="Y236" s="65"/>
      <c r="Z236" s="65"/>
      <c r="AA236" s="65"/>
      <c r="AB236" s="65"/>
      <c r="AC236" s="65"/>
      <c r="AD236" s="159">
        <v>10</v>
      </c>
      <c r="AE236" s="65" t="s">
        <v>131</v>
      </c>
      <c r="AF236" s="13" t="s">
        <v>104</v>
      </c>
      <c r="AG236" s="156"/>
      <c r="AH236" s="160" t="s">
        <v>146</v>
      </c>
      <c r="AI236" s="42">
        <v>2</v>
      </c>
    </row>
    <row r="237" spans="23:35" x14ac:dyDescent="0.2">
      <c r="X237" s="157" t="s">
        <v>267</v>
      </c>
      <c r="Y237" s="65"/>
      <c r="Z237" s="65"/>
      <c r="AA237" s="65"/>
      <c r="AB237" s="65"/>
      <c r="AC237" s="65"/>
      <c r="AD237" s="159">
        <v>750</v>
      </c>
      <c r="AE237" s="65" t="s">
        <v>131</v>
      </c>
      <c r="AF237" s="13" t="s">
        <v>103</v>
      </c>
      <c r="AG237" s="155"/>
      <c r="AH237" s="160" t="s">
        <v>146</v>
      </c>
      <c r="AI237" s="42">
        <v>3</v>
      </c>
    </row>
    <row r="238" spans="23:35" x14ac:dyDescent="0.2">
      <c r="X238" s="157" t="s">
        <v>268</v>
      </c>
      <c r="Y238" s="65"/>
      <c r="Z238" s="65"/>
      <c r="AA238" s="65"/>
      <c r="AB238" s="65"/>
      <c r="AC238" s="65"/>
      <c r="AD238" s="159">
        <v>200</v>
      </c>
      <c r="AE238" s="65" t="s">
        <v>131</v>
      </c>
      <c r="AF238" s="13" t="s">
        <v>192</v>
      </c>
      <c r="AG238" s="155"/>
      <c r="AH238" s="160" t="s">
        <v>191</v>
      </c>
      <c r="AI238" s="42">
        <v>3</v>
      </c>
    </row>
    <row r="239" spans="23:35" x14ac:dyDescent="0.2">
      <c r="X239" s="157" t="s">
        <v>385</v>
      </c>
      <c r="Y239" s="65"/>
      <c r="Z239" s="65"/>
      <c r="AA239" s="65"/>
      <c r="AB239" s="65"/>
      <c r="AC239" s="65"/>
      <c r="AD239" s="159">
        <v>20</v>
      </c>
      <c r="AE239" s="65" t="s">
        <v>95</v>
      </c>
      <c r="AF239" s="13" t="s">
        <v>386</v>
      </c>
      <c r="AG239" s="155"/>
      <c r="AH239" s="160" t="s">
        <v>387</v>
      </c>
      <c r="AI239" s="42">
        <v>2</v>
      </c>
    </row>
    <row r="240" spans="23:35" x14ac:dyDescent="0.2">
      <c r="X240" s="157" t="s">
        <v>319</v>
      </c>
      <c r="Y240" s="65"/>
      <c r="Z240" s="65"/>
      <c r="AA240" s="65"/>
      <c r="AB240" s="65"/>
      <c r="AC240" s="65"/>
      <c r="AD240" s="159">
        <v>2000</v>
      </c>
      <c r="AE240" s="65" t="s">
        <v>91</v>
      </c>
      <c r="AF240" s="13" t="s">
        <v>328</v>
      </c>
      <c r="AG240" s="155"/>
      <c r="AH240" s="160" t="s">
        <v>320</v>
      </c>
      <c r="AI240" s="42">
        <v>2</v>
      </c>
    </row>
    <row r="241" spans="24:35" x14ac:dyDescent="0.2">
      <c r="X241" s="157" t="s">
        <v>321</v>
      </c>
      <c r="Y241" s="65"/>
      <c r="Z241" s="65"/>
      <c r="AA241" s="65"/>
      <c r="AB241" s="65"/>
      <c r="AC241" s="65"/>
      <c r="AD241" s="159">
        <v>10000</v>
      </c>
      <c r="AE241" s="65" t="s">
        <v>91</v>
      </c>
      <c r="AF241" s="13" t="s">
        <v>329</v>
      </c>
      <c r="AG241" s="155"/>
      <c r="AH241" s="160" t="s">
        <v>316</v>
      </c>
      <c r="AI241" s="42">
        <v>3</v>
      </c>
    </row>
    <row r="242" spans="24:35" x14ac:dyDescent="0.2">
      <c r="X242" s="157" t="s">
        <v>269</v>
      </c>
      <c r="Y242" s="65"/>
      <c r="Z242" s="65"/>
      <c r="AA242" s="65"/>
      <c r="AB242" s="65"/>
      <c r="AC242" s="65"/>
      <c r="AD242" s="159">
        <v>3</v>
      </c>
      <c r="AE242" s="65" t="s">
        <v>131</v>
      </c>
      <c r="AF242" s="13" t="s">
        <v>106</v>
      </c>
      <c r="AG242" s="156"/>
      <c r="AH242" s="160" t="s">
        <v>147</v>
      </c>
      <c r="AI242" s="42">
        <v>2</v>
      </c>
    </row>
    <row r="243" spans="24:35" x14ac:dyDescent="0.2">
      <c r="X243" s="157" t="s">
        <v>270</v>
      </c>
      <c r="Y243" s="65"/>
      <c r="Z243" s="65"/>
      <c r="AA243" s="65"/>
      <c r="AB243" s="65"/>
      <c r="AC243" s="65"/>
      <c r="AD243" s="159">
        <v>30</v>
      </c>
      <c r="AE243" s="65" t="s">
        <v>131</v>
      </c>
      <c r="AF243" s="13" t="s">
        <v>105</v>
      </c>
      <c r="AG243" s="155"/>
      <c r="AH243" s="160" t="s">
        <v>147</v>
      </c>
      <c r="AI243" s="42">
        <v>2</v>
      </c>
    </row>
    <row r="244" spans="24:35" x14ac:dyDescent="0.2">
      <c r="X244" s="157" t="s">
        <v>375</v>
      </c>
      <c r="Y244" s="65"/>
      <c r="Z244" s="65"/>
      <c r="AA244" s="65"/>
      <c r="AB244" s="65"/>
      <c r="AC244" s="65"/>
      <c r="AD244" s="159">
        <v>500</v>
      </c>
      <c r="AE244" s="65" t="s">
        <v>95</v>
      </c>
      <c r="AF244" s="13" t="s">
        <v>380</v>
      </c>
      <c r="AG244" s="155"/>
      <c r="AH244" s="160" t="s">
        <v>376</v>
      </c>
      <c r="AI244" s="42">
        <v>3.5</v>
      </c>
    </row>
    <row r="245" spans="24:35" x14ac:dyDescent="0.2">
      <c r="X245" s="157" t="s">
        <v>341</v>
      </c>
      <c r="Y245" s="65"/>
      <c r="Z245" s="65"/>
      <c r="AA245" s="65"/>
      <c r="AB245" s="65"/>
      <c r="AC245" s="65"/>
      <c r="AD245" s="159">
        <v>1000</v>
      </c>
      <c r="AE245" s="65" t="s">
        <v>91</v>
      </c>
      <c r="AF245" s="13" t="s">
        <v>194</v>
      </c>
      <c r="AG245" s="155"/>
      <c r="AH245" s="160" t="s">
        <v>342</v>
      </c>
      <c r="AI245" s="42">
        <v>2</v>
      </c>
    </row>
    <row r="246" spans="24:35" x14ac:dyDescent="0.2">
      <c r="X246" s="157" t="s">
        <v>271</v>
      </c>
      <c r="Y246" s="65"/>
      <c r="Z246" s="65"/>
      <c r="AA246" s="65"/>
      <c r="AB246" s="65"/>
      <c r="AC246" s="65"/>
      <c r="AD246" s="159">
        <v>2500</v>
      </c>
      <c r="AE246" s="65" t="s">
        <v>91</v>
      </c>
      <c r="AF246" s="13" t="s">
        <v>107</v>
      </c>
      <c r="AG246" s="155"/>
      <c r="AH246" s="160" t="s">
        <v>193</v>
      </c>
      <c r="AI246" s="42">
        <v>2.25</v>
      </c>
    </row>
    <row r="247" spans="24:35" x14ac:dyDescent="0.2">
      <c r="X247" s="157" t="s">
        <v>272</v>
      </c>
      <c r="Y247" s="65"/>
      <c r="Z247" s="65"/>
      <c r="AA247" s="65"/>
      <c r="AB247" s="65"/>
      <c r="AC247" s="65"/>
      <c r="AD247" s="159">
        <v>150</v>
      </c>
      <c r="AE247" s="65" t="s">
        <v>98</v>
      </c>
      <c r="AF247" s="13" t="s">
        <v>198</v>
      </c>
      <c r="AG247" s="155"/>
      <c r="AH247" s="160" t="s">
        <v>199</v>
      </c>
      <c r="AI247" s="42">
        <v>2</v>
      </c>
    </row>
    <row r="248" spans="24:35" x14ac:dyDescent="0.2">
      <c r="X248" s="157" t="s">
        <v>391</v>
      </c>
      <c r="Y248" s="65"/>
      <c r="Z248" s="65"/>
      <c r="AA248" s="65"/>
      <c r="AB248" s="65"/>
      <c r="AC248" s="65"/>
      <c r="AD248" s="159">
        <v>20</v>
      </c>
      <c r="AE248" s="65" t="s">
        <v>98</v>
      </c>
      <c r="AF248" s="13" t="s">
        <v>230</v>
      </c>
      <c r="AG248" s="155"/>
      <c r="AH248" s="160" t="s">
        <v>231</v>
      </c>
      <c r="AI248" s="42">
        <v>2</v>
      </c>
    </row>
    <row r="249" spans="24:35" x14ac:dyDescent="0.2">
      <c r="X249" s="157" t="s">
        <v>389</v>
      </c>
      <c r="Y249" s="65"/>
      <c r="Z249" s="65"/>
      <c r="AA249" s="65"/>
      <c r="AB249" s="65"/>
      <c r="AC249" s="65"/>
      <c r="AD249" s="159">
        <v>10000</v>
      </c>
      <c r="AE249" s="65" t="s">
        <v>91</v>
      </c>
      <c r="AF249" s="13" t="s">
        <v>392</v>
      </c>
      <c r="AG249" s="155"/>
      <c r="AH249" s="160" t="s">
        <v>393</v>
      </c>
      <c r="AI249" s="42">
        <v>2.25</v>
      </c>
    </row>
    <row r="250" spans="24:35" x14ac:dyDescent="0.2">
      <c r="X250" s="157" t="s">
        <v>390</v>
      </c>
      <c r="Y250" s="65"/>
      <c r="Z250" s="65"/>
      <c r="AA250" s="65"/>
      <c r="AB250" s="65"/>
      <c r="AC250" s="65"/>
      <c r="AD250" s="159">
        <v>3000</v>
      </c>
      <c r="AE250" s="65" t="s">
        <v>91</v>
      </c>
      <c r="AF250" s="13" t="s">
        <v>183</v>
      </c>
      <c r="AG250" s="155"/>
      <c r="AH250" s="160" t="s">
        <v>184</v>
      </c>
      <c r="AI250" s="42">
        <v>2.25</v>
      </c>
    </row>
    <row r="251" spans="24:35" x14ac:dyDescent="0.2">
      <c r="X251" s="157" t="s">
        <v>273</v>
      </c>
      <c r="Y251" s="65"/>
      <c r="Z251" s="65"/>
      <c r="AA251" s="65"/>
      <c r="AB251" s="65"/>
      <c r="AC251" s="65"/>
      <c r="AD251" s="159">
        <v>2000</v>
      </c>
      <c r="AE251" s="65" t="s">
        <v>91</v>
      </c>
      <c r="AF251" s="13" t="s">
        <v>206</v>
      </c>
      <c r="AG251" s="155"/>
      <c r="AH251" s="160" t="s">
        <v>207</v>
      </c>
      <c r="AI251" s="42">
        <v>2</v>
      </c>
    </row>
    <row r="252" spans="24:35" x14ac:dyDescent="0.2">
      <c r="X252" s="157" t="s">
        <v>317</v>
      </c>
      <c r="Y252" s="65"/>
      <c r="Z252" s="65"/>
      <c r="AA252" s="65"/>
      <c r="AB252" s="65"/>
      <c r="AC252" s="65"/>
      <c r="AD252" s="159">
        <v>10000</v>
      </c>
      <c r="AE252" s="65" t="s">
        <v>91</v>
      </c>
      <c r="AF252" s="13" t="s">
        <v>108</v>
      </c>
      <c r="AG252" s="155"/>
      <c r="AH252" s="160" t="s">
        <v>318</v>
      </c>
      <c r="AI252" s="42">
        <v>4</v>
      </c>
    </row>
    <row r="253" spans="24:35" x14ac:dyDescent="0.2">
      <c r="X253" s="157" t="s">
        <v>274</v>
      </c>
      <c r="Y253" s="65"/>
      <c r="Z253" s="65"/>
      <c r="AA253" s="65"/>
      <c r="AB253" s="65"/>
      <c r="AC253" s="65"/>
      <c r="AD253" s="159">
        <v>2000</v>
      </c>
      <c r="AE253" s="65" t="s">
        <v>91</v>
      </c>
      <c r="AF253" s="13" t="s">
        <v>109</v>
      </c>
      <c r="AG253" s="155"/>
      <c r="AH253" s="160" t="s">
        <v>148</v>
      </c>
      <c r="AI253" s="42">
        <v>3</v>
      </c>
    </row>
    <row r="254" spans="24:35" x14ac:dyDescent="0.2">
      <c r="X254" s="157" t="s">
        <v>275</v>
      </c>
      <c r="Y254" s="65"/>
      <c r="Z254" s="65"/>
      <c r="AA254" s="65"/>
      <c r="AB254" s="65"/>
      <c r="AC254" s="65"/>
      <c r="AD254" s="159">
        <v>6000</v>
      </c>
      <c r="AE254" s="65" t="s">
        <v>91</v>
      </c>
      <c r="AF254" s="13" t="s">
        <v>226</v>
      </c>
      <c r="AG254" s="155"/>
      <c r="AH254" s="160" t="s">
        <v>227</v>
      </c>
      <c r="AI254" s="42">
        <v>3</v>
      </c>
    </row>
    <row r="255" spans="24:35" x14ac:dyDescent="0.2">
      <c r="X255" s="157" t="s">
        <v>276</v>
      </c>
      <c r="Y255" s="65"/>
      <c r="Z255" s="65"/>
      <c r="AA255" s="65"/>
      <c r="AB255" s="65"/>
      <c r="AC255" s="65"/>
      <c r="AD255" s="159">
        <v>1000</v>
      </c>
      <c r="AE255" s="65" t="s">
        <v>91</v>
      </c>
      <c r="AF255" s="13" t="s">
        <v>130</v>
      </c>
      <c r="AG255" s="155"/>
      <c r="AH255" s="160" t="s">
        <v>149</v>
      </c>
      <c r="AI255" s="42">
        <v>2</v>
      </c>
    </row>
    <row r="256" spans="24:35" x14ac:dyDescent="0.2">
      <c r="X256" s="157" t="s">
        <v>360</v>
      </c>
      <c r="Y256" s="65"/>
      <c r="Z256" s="65"/>
      <c r="AA256" s="65"/>
      <c r="AB256" s="65"/>
      <c r="AC256" s="65"/>
      <c r="AD256" s="159">
        <v>2000</v>
      </c>
      <c r="AE256" s="65" t="s">
        <v>91</v>
      </c>
      <c r="AF256" s="13" t="s">
        <v>370</v>
      </c>
      <c r="AG256" s="155"/>
      <c r="AH256" s="160" t="s">
        <v>361</v>
      </c>
      <c r="AI256" s="42">
        <v>2</v>
      </c>
    </row>
    <row r="257" spans="23:35" x14ac:dyDescent="0.2">
      <c r="W257" s="13" t="s">
        <v>333</v>
      </c>
      <c r="X257" s="157" t="s">
        <v>277</v>
      </c>
      <c r="Y257" s="65"/>
      <c r="Z257" s="65"/>
      <c r="AA257" s="65"/>
      <c r="AB257" s="65"/>
      <c r="AC257" s="65"/>
      <c r="AD257" s="159">
        <v>40</v>
      </c>
      <c r="AE257" s="65" t="s">
        <v>98</v>
      </c>
      <c r="AF257" s="13" t="s">
        <v>110</v>
      </c>
      <c r="AG257" s="156"/>
      <c r="AH257" s="160" t="s">
        <v>150</v>
      </c>
      <c r="AI257" s="42">
        <v>2</v>
      </c>
    </row>
    <row r="258" spans="23:35" x14ac:dyDescent="0.2">
      <c r="W258" s="13" t="s">
        <v>333</v>
      </c>
      <c r="X258" s="157" t="s">
        <v>278</v>
      </c>
      <c r="Y258" s="65"/>
      <c r="Z258" s="65"/>
      <c r="AA258" s="65"/>
      <c r="AB258" s="65"/>
      <c r="AC258" s="65"/>
      <c r="AD258" s="159">
        <v>50</v>
      </c>
      <c r="AE258" s="65" t="s">
        <v>95</v>
      </c>
      <c r="AF258" s="13" t="s">
        <v>111</v>
      </c>
      <c r="AG258" s="156"/>
      <c r="AH258" s="160" t="s">
        <v>151</v>
      </c>
      <c r="AI258" s="42">
        <v>2</v>
      </c>
    </row>
    <row r="259" spans="23:35" x14ac:dyDescent="0.2">
      <c r="W259" s="13" t="s">
        <v>333</v>
      </c>
      <c r="X259" s="157" t="s">
        <v>279</v>
      </c>
      <c r="Y259" s="65"/>
      <c r="Z259" s="65"/>
      <c r="AA259" s="65"/>
      <c r="AB259" s="65"/>
      <c r="AC259" s="65"/>
      <c r="AD259" s="159">
        <v>10</v>
      </c>
      <c r="AE259" s="65" t="s">
        <v>98</v>
      </c>
      <c r="AF259" s="13" t="s">
        <v>112</v>
      </c>
      <c r="AG259" s="156"/>
      <c r="AH259" s="160" t="s">
        <v>152</v>
      </c>
      <c r="AI259" s="42">
        <v>2</v>
      </c>
    </row>
    <row r="260" spans="23:35" x14ac:dyDescent="0.2">
      <c r="X260" s="157" t="s">
        <v>362</v>
      </c>
      <c r="Y260" s="65"/>
      <c r="Z260" s="65"/>
      <c r="AA260" s="65"/>
      <c r="AB260" s="65"/>
      <c r="AC260" s="65"/>
      <c r="AD260" s="159">
        <v>100</v>
      </c>
      <c r="AE260" s="65" t="s">
        <v>98</v>
      </c>
      <c r="AF260" s="13" t="s">
        <v>371</v>
      </c>
      <c r="AG260" s="156"/>
      <c r="AH260" s="160" t="s">
        <v>363</v>
      </c>
      <c r="AI260" s="42">
        <v>2.5</v>
      </c>
    </row>
    <row r="261" spans="23:35" x14ac:dyDescent="0.2">
      <c r="X261" s="157" t="s">
        <v>281</v>
      </c>
      <c r="Y261" s="65"/>
      <c r="Z261" s="65"/>
      <c r="AA261" s="65"/>
      <c r="AB261" s="65"/>
      <c r="AC261" s="65"/>
      <c r="AD261" s="159">
        <v>500</v>
      </c>
      <c r="AE261" s="65" t="s">
        <v>91</v>
      </c>
      <c r="AF261" s="13" t="s">
        <v>113</v>
      </c>
      <c r="AG261" s="156"/>
      <c r="AH261" s="160" t="s">
        <v>153</v>
      </c>
      <c r="AI261" s="42">
        <v>2</v>
      </c>
    </row>
    <row r="262" spans="23:35" x14ac:dyDescent="0.2">
      <c r="X262" s="157" t="s">
        <v>280</v>
      </c>
      <c r="Y262" s="65"/>
      <c r="Z262" s="65"/>
      <c r="AA262" s="65"/>
      <c r="AB262" s="65"/>
      <c r="AC262" s="65"/>
      <c r="AD262" s="159">
        <v>2000</v>
      </c>
      <c r="AE262" s="65" t="s">
        <v>91</v>
      </c>
      <c r="AF262" s="13" t="s">
        <v>113</v>
      </c>
      <c r="AG262" s="156"/>
      <c r="AH262" s="160" t="s">
        <v>153</v>
      </c>
      <c r="AI262" s="42">
        <v>2</v>
      </c>
    </row>
    <row r="263" spans="23:35" x14ac:dyDescent="0.2">
      <c r="X263" s="157" t="s">
        <v>381</v>
      </c>
      <c r="Y263" s="65"/>
      <c r="Z263" s="65"/>
      <c r="AA263" s="65"/>
      <c r="AB263" s="65"/>
      <c r="AC263" s="65"/>
      <c r="AD263" s="159">
        <v>2000</v>
      </c>
      <c r="AE263" s="65" t="s">
        <v>91</v>
      </c>
      <c r="AF263" s="13" t="s">
        <v>209</v>
      </c>
      <c r="AG263" s="155"/>
      <c r="AH263" s="160" t="s">
        <v>382</v>
      </c>
      <c r="AI263" s="42">
        <v>2.5</v>
      </c>
    </row>
    <row r="264" spans="23:35" x14ac:dyDescent="0.2">
      <c r="X264" s="157" t="s">
        <v>364</v>
      </c>
      <c r="Y264" s="65"/>
      <c r="Z264" s="65"/>
      <c r="AA264" s="65"/>
      <c r="AB264" s="65"/>
      <c r="AC264" s="65"/>
      <c r="AD264" s="159">
        <v>500</v>
      </c>
      <c r="AE264" s="65" t="s">
        <v>91</v>
      </c>
      <c r="AF264" s="13" t="s">
        <v>114</v>
      </c>
      <c r="AG264" s="155"/>
      <c r="AH264" s="160" t="s">
        <v>365</v>
      </c>
      <c r="AI264" s="42">
        <v>2</v>
      </c>
    </row>
    <row r="265" spans="23:35" x14ac:dyDescent="0.2">
      <c r="X265" s="157" t="s">
        <v>282</v>
      </c>
      <c r="Y265" s="65"/>
      <c r="Z265" s="65"/>
      <c r="AA265" s="65"/>
      <c r="AB265" s="65"/>
      <c r="AC265" s="65"/>
      <c r="AD265" s="159">
        <v>5000</v>
      </c>
      <c r="AE265" s="65" t="s">
        <v>91</v>
      </c>
      <c r="AF265" s="13" t="s">
        <v>115</v>
      </c>
      <c r="AG265" s="155"/>
      <c r="AH265" s="160" t="s">
        <v>187</v>
      </c>
      <c r="AI265" s="42">
        <v>2.25</v>
      </c>
    </row>
    <row r="266" spans="23:35" x14ac:dyDescent="0.2">
      <c r="X266" s="157" t="s">
        <v>283</v>
      </c>
      <c r="Y266" s="65"/>
      <c r="Z266" s="65"/>
      <c r="AA266" s="65"/>
      <c r="AB266" s="65"/>
      <c r="AC266" s="65"/>
      <c r="AD266" s="159">
        <v>1000</v>
      </c>
      <c r="AE266" s="65" t="s">
        <v>91</v>
      </c>
      <c r="AF266" s="13" t="s">
        <v>116</v>
      </c>
      <c r="AG266" s="155"/>
      <c r="AH266" s="160" t="s">
        <v>195</v>
      </c>
      <c r="AI266" s="42">
        <v>2</v>
      </c>
    </row>
    <row r="267" spans="23:35" x14ac:dyDescent="0.2">
      <c r="X267" s="157" t="s">
        <v>284</v>
      </c>
      <c r="Y267" s="65"/>
      <c r="Z267" s="65"/>
      <c r="AA267" s="65"/>
      <c r="AB267" s="65"/>
      <c r="AC267" s="65"/>
      <c r="AD267" s="159">
        <v>5000</v>
      </c>
      <c r="AE267" s="65" t="s">
        <v>91</v>
      </c>
      <c r="AF267" s="13" t="s">
        <v>215</v>
      </c>
      <c r="AG267" s="155"/>
      <c r="AH267" s="160" t="s">
        <v>216</v>
      </c>
      <c r="AI267" s="42">
        <v>2.5</v>
      </c>
    </row>
    <row r="268" spans="23:35" x14ac:dyDescent="0.2">
      <c r="X268" s="157" t="s">
        <v>324</v>
      </c>
      <c r="Y268" s="65"/>
      <c r="Z268" s="65"/>
      <c r="AA268" s="65"/>
      <c r="AB268" s="65"/>
      <c r="AC268" s="65"/>
      <c r="AD268" s="159">
        <v>1000</v>
      </c>
      <c r="AE268" s="65" t="s">
        <v>91</v>
      </c>
      <c r="AF268" s="13" t="s">
        <v>330</v>
      </c>
      <c r="AG268" s="155"/>
      <c r="AH268" s="160" t="s">
        <v>331</v>
      </c>
      <c r="AI268" s="42">
        <v>2.5</v>
      </c>
    </row>
    <row r="269" spans="23:35" x14ac:dyDescent="0.2">
      <c r="X269" s="157" t="s">
        <v>285</v>
      </c>
      <c r="Y269" s="65"/>
      <c r="Z269" s="65"/>
      <c r="AA269" s="65"/>
      <c r="AB269" s="65"/>
      <c r="AC269" s="65"/>
      <c r="AD269" s="159">
        <v>1000</v>
      </c>
      <c r="AE269" s="65" t="s">
        <v>91</v>
      </c>
      <c r="AF269" s="13" t="s">
        <v>228</v>
      </c>
      <c r="AG269" s="155"/>
      <c r="AH269" s="160" t="s">
        <v>229</v>
      </c>
      <c r="AI269" s="42">
        <v>2.5</v>
      </c>
    </row>
    <row r="270" spans="23:35" x14ac:dyDescent="0.2">
      <c r="X270" s="157" t="s">
        <v>366</v>
      </c>
      <c r="Y270" s="65"/>
      <c r="Z270" s="65"/>
      <c r="AA270" s="65"/>
      <c r="AB270" s="65"/>
      <c r="AC270" s="65"/>
      <c r="AD270" s="159">
        <v>8</v>
      </c>
      <c r="AE270" s="65" t="s">
        <v>98</v>
      </c>
      <c r="AF270" s="13" t="s">
        <v>368</v>
      </c>
      <c r="AG270" s="155"/>
      <c r="AH270" s="160" t="s">
        <v>367</v>
      </c>
      <c r="AI270" s="42">
        <v>2.25</v>
      </c>
    </row>
    <row r="271" spans="23:35" x14ac:dyDescent="0.2">
      <c r="X271" s="157" t="s">
        <v>334</v>
      </c>
      <c r="Y271" s="65"/>
      <c r="Z271" s="65"/>
      <c r="AA271" s="65"/>
      <c r="AB271" s="65"/>
      <c r="AC271" s="65"/>
      <c r="AD271" s="159">
        <v>10000</v>
      </c>
      <c r="AE271" s="65" t="s">
        <v>91</v>
      </c>
      <c r="AF271" s="13" t="s">
        <v>335</v>
      </c>
      <c r="AG271" s="155"/>
      <c r="AH271" s="160" t="s">
        <v>336</v>
      </c>
      <c r="AI271" s="42">
        <v>2.5</v>
      </c>
    </row>
    <row r="272" spans="23:35" x14ac:dyDescent="0.2">
      <c r="X272" s="157" t="s">
        <v>287</v>
      </c>
      <c r="Y272" s="65"/>
      <c r="Z272" s="65"/>
      <c r="AA272" s="65"/>
      <c r="AB272" s="65"/>
      <c r="AC272" s="65"/>
      <c r="AD272" s="159">
        <v>500</v>
      </c>
      <c r="AE272" s="65" t="s">
        <v>91</v>
      </c>
      <c r="AF272" s="13" t="s">
        <v>220</v>
      </c>
      <c r="AG272" s="155"/>
      <c r="AH272" s="160" t="s">
        <v>221</v>
      </c>
      <c r="AI272" s="42">
        <v>2</v>
      </c>
    </row>
    <row r="273" spans="23:35" x14ac:dyDescent="0.2">
      <c r="X273" s="157" t="s">
        <v>288</v>
      </c>
      <c r="Y273" s="65"/>
      <c r="Z273" s="65"/>
      <c r="AA273" s="65"/>
      <c r="AB273" s="65"/>
      <c r="AC273" s="65"/>
      <c r="AD273" s="159">
        <v>750</v>
      </c>
      <c r="AE273" s="65" t="s">
        <v>91</v>
      </c>
      <c r="AF273" s="13" t="s">
        <v>202</v>
      </c>
      <c r="AG273" s="155"/>
      <c r="AH273" s="160" t="s">
        <v>203</v>
      </c>
      <c r="AI273" s="42">
        <v>2</v>
      </c>
    </row>
    <row r="274" spans="23:35" x14ac:dyDescent="0.2">
      <c r="X274" s="158" t="s">
        <v>290</v>
      </c>
      <c r="AD274" s="13">
        <v>500</v>
      </c>
      <c r="AE274" s="13" t="s">
        <v>91</v>
      </c>
      <c r="AF274" s="13" t="s">
        <v>210</v>
      </c>
      <c r="AH274" s="153" t="s">
        <v>211</v>
      </c>
      <c r="AI274" s="13">
        <v>2</v>
      </c>
    </row>
    <row r="275" spans="23:35" x14ac:dyDescent="0.2">
      <c r="X275" s="158" t="s">
        <v>291</v>
      </c>
      <c r="AD275" s="13">
        <v>50</v>
      </c>
      <c r="AE275" s="13" t="s">
        <v>98</v>
      </c>
      <c r="AF275" s="13" t="s">
        <v>225</v>
      </c>
      <c r="AH275" s="153" t="s">
        <v>224</v>
      </c>
      <c r="AI275" s="13">
        <v>2</v>
      </c>
    </row>
    <row r="276" spans="23:35" x14ac:dyDescent="0.2">
      <c r="X276" s="157" t="s">
        <v>292</v>
      </c>
      <c r="Y276" s="65"/>
      <c r="Z276" s="65"/>
      <c r="AA276" s="65"/>
      <c r="AB276" s="65"/>
      <c r="AC276" s="65"/>
      <c r="AD276" s="159">
        <v>1000</v>
      </c>
      <c r="AE276" s="65" t="s">
        <v>91</v>
      </c>
      <c r="AF276" s="13" t="s">
        <v>117</v>
      </c>
      <c r="AG276" s="155"/>
      <c r="AH276" s="160" t="s">
        <v>154</v>
      </c>
      <c r="AI276" s="42">
        <v>2</v>
      </c>
    </row>
    <row r="277" spans="23:35" x14ac:dyDescent="0.2">
      <c r="W277" s="13" t="s">
        <v>333</v>
      </c>
      <c r="X277" s="157" t="s">
        <v>293</v>
      </c>
      <c r="Y277" s="65"/>
      <c r="Z277" s="65"/>
      <c r="AA277" s="65"/>
      <c r="AB277" s="65"/>
      <c r="AC277" s="65"/>
      <c r="AD277" s="159">
        <v>50</v>
      </c>
      <c r="AE277" s="65" t="s">
        <v>98</v>
      </c>
      <c r="AF277" s="13" t="s">
        <v>118</v>
      </c>
      <c r="AG277" s="156"/>
      <c r="AH277" s="160" t="s">
        <v>155</v>
      </c>
      <c r="AI277" s="42">
        <v>2</v>
      </c>
    </row>
    <row r="278" spans="23:35" x14ac:dyDescent="0.2">
      <c r="X278" s="157" t="s">
        <v>295</v>
      </c>
      <c r="Y278" s="65"/>
      <c r="Z278" s="65"/>
      <c r="AA278" s="65"/>
      <c r="AB278" s="65"/>
      <c r="AC278" s="65"/>
      <c r="AD278" s="159">
        <v>15000</v>
      </c>
      <c r="AE278" s="65" t="s">
        <v>91</v>
      </c>
      <c r="AF278" s="13" t="s">
        <v>177</v>
      </c>
      <c r="AG278" s="156"/>
      <c r="AH278" s="160">
        <v>512041</v>
      </c>
      <c r="AI278" s="42">
        <v>2</v>
      </c>
    </row>
    <row r="279" spans="23:35" x14ac:dyDescent="0.2">
      <c r="X279" s="157" t="s">
        <v>294</v>
      </c>
      <c r="Y279" s="65"/>
      <c r="Z279" s="65"/>
      <c r="AA279" s="65"/>
      <c r="AB279" s="65"/>
      <c r="AC279" s="65"/>
      <c r="AD279" s="159">
        <v>2500</v>
      </c>
      <c r="AE279" s="65" t="s">
        <v>91</v>
      </c>
      <c r="AF279" s="13" t="s">
        <v>161</v>
      </c>
      <c r="AG279" s="156"/>
      <c r="AH279" s="160" t="s">
        <v>176</v>
      </c>
      <c r="AI279" s="42">
        <v>2</v>
      </c>
    </row>
    <row r="280" spans="23:35" x14ac:dyDescent="0.2">
      <c r="X280" s="157" t="s">
        <v>297</v>
      </c>
      <c r="Y280" s="65"/>
      <c r="Z280" s="65"/>
      <c r="AA280" s="65"/>
      <c r="AB280" s="65"/>
      <c r="AC280" s="65"/>
      <c r="AD280" s="159">
        <v>1000</v>
      </c>
      <c r="AE280" s="65" t="s">
        <v>91</v>
      </c>
      <c r="AF280" s="13" t="s">
        <v>163</v>
      </c>
      <c r="AG280" s="155"/>
      <c r="AH280" s="160" t="s">
        <v>162</v>
      </c>
      <c r="AI280" s="42">
        <v>2</v>
      </c>
    </row>
    <row r="281" spans="23:35" x14ac:dyDescent="0.2">
      <c r="X281" s="157" t="s">
        <v>296</v>
      </c>
      <c r="Y281" s="65"/>
      <c r="Z281" s="65"/>
      <c r="AA281" s="65"/>
      <c r="AB281" s="65"/>
      <c r="AC281" s="65"/>
      <c r="AD281" s="159">
        <v>250</v>
      </c>
      <c r="AE281" s="65" t="s">
        <v>91</v>
      </c>
      <c r="AF281" s="13" t="s">
        <v>119</v>
      </c>
      <c r="AG281" s="155"/>
      <c r="AH281" s="160" t="s">
        <v>156</v>
      </c>
      <c r="AI281" s="42">
        <v>2</v>
      </c>
    </row>
    <row r="282" spans="23:35" x14ac:dyDescent="0.2">
      <c r="X282" s="157" t="s">
        <v>298</v>
      </c>
      <c r="Y282" s="65"/>
      <c r="Z282" s="65"/>
      <c r="AA282" s="65"/>
      <c r="AB282" s="65"/>
      <c r="AC282" s="65"/>
      <c r="AD282" s="159">
        <v>50</v>
      </c>
      <c r="AE282" s="65" t="s">
        <v>91</v>
      </c>
      <c r="AF282" s="13" t="s">
        <v>128</v>
      </c>
      <c r="AG282" s="156"/>
      <c r="AH282" s="160" t="s">
        <v>145</v>
      </c>
      <c r="AI282" s="42">
        <v>2</v>
      </c>
    </row>
    <row r="283" spans="23:35" x14ac:dyDescent="0.2">
      <c r="X283" s="157" t="s">
        <v>300</v>
      </c>
      <c r="Y283" s="65"/>
      <c r="Z283" s="65"/>
      <c r="AA283" s="65"/>
      <c r="AB283" s="65"/>
      <c r="AC283" s="65"/>
      <c r="AD283" s="159">
        <v>2000</v>
      </c>
      <c r="AE283" s="65" t="s">
        <v>91</v>
      </c>
      <c r="AF283" s="13" t="s">
        <v>164</v>
      </c>
      <c r="AG283" s="155"/>
      <c r="AH283" s="160" t="s">
        <v>165</v>
      </c>
      <c r="AI283" s="42">
        <v>2</v>
      </c>
    </row>
    <row r="284" spans="23:35" x14ac:dyDescent="0.2">
      <c r="X284" s="157" t="s">
        <v>299</v>
      </c>
      <c r="Y284" s="65"/>
      <c r="Z284" s="65"/>
      <c r="AA284" s="65"/>
      <c r="AB284" s="65"/>
      <c r="AC284" s="65"/>
      <c r="AD284" s="159">
        <v>1000</v>
      </c>
      <c r="AE284" s="65" t="s">
        <v>91</v>
      </c>
      <c r="AF284" s="13" t="s">
        <v>120</v>
      </c>
      <c r="AG284" s="155"/>
      <c r="AH284" s="160" t="s">
        <v>157</v>
      </c>
      <c r="AI284" s="42">
        <v>2</v>
      </c>
    </row>
    <row r="285" spans="23:35" x14ac:dyDescent="0.2">
      <c r="X285" s="157" t="s">
        <v>301</v>
      </c>
      <c r="Y285" s="65"/>
      <c r="Z285" s="65"/>
      <c r="AA285" s="65"/>
      <c r="AB285" s="65"/>
      <c r="AC285" s="65"/>
      <c r="AD285" s="159">
        <v>500</v>
      </c>
      <c r="AE285" s="65" t="s">
        <v>91</v>
      </c>
      <c r="AF285" s="13" t="s">
        <v>121</v>
      </c>
      <c r="AG285" s="156"/>
      <c r="AH285" s="160" t="s">
        <v>158</v>
      </c>
      <c r="AI285" s="42">
        <v>2</v>
      </c>
    </row>
    <row r="286" spans="23:35" x14ac:dyDescent="0.2">
      <c r="X286" s="157" t="s">
        <v>302</v>
      </c>
      <c r="Y286" s="65"/>
      <c r="Z286" s="65"/>
      <c r="AA286" s="65"/>
      <c r="AB286" s="65"/>
      <c r="AC286" s="65"/>
      <c r="AD286" s="159">
        <v>5000</v>
      </c>
      <c r="AE286" s="65" t="s">
        <v>91</v>
      </c>
      <c r="AF286" s="13" t="s">
        <v>188</v>
      </c>
      <c r="AG286" s="156"/>
      <c r="AH286" s="160" t="s">
        <v>243</v>
      </c>
      <c r="AI286" s="42">
        <v>2</v>
      </c>
    </row>
    <row r="287" spans="23:35" x14ac:dyDescent="0.2">
      <c r="X287" s="157" t="s">
        <v>303</v>
      </c>
      <c r="Y287" s="65"/>
      <c r="Z287" s="65"/>
      <c r="AA287" s="65"/>
      <c r="AB287" s="65"/>
      <c r="AC287" s="65"/>
      <c r="AD287" s="159">
        <v>2000</v>
      </c>
      <c r="AE287" s="65" t="s">
        <v>91</v>
      </c>
      <c r="AF287" s="13" t="s">
        <v>122</v>
      </c>
      <c r="AG287" s="155"/>
      <c r="AH287" s="160" t="s">
        <v>159</v>
      </c>
      <c r="AI287" s="42">
        <v>2</v>
      </c>
    </row>
    <row r="288" spans="23:35" x14ac:dyDescent="0.2">
      <c r="X288" s="157" t="s">
        <v>289</v>
      </c>
      <c r="Y288" s="65"/>
      <c r="Z288" s="65"/>
      <c r="AA288" s="65"/>
      <c r="AB288" s="65"/>
      <c r="AC288" s="65"/>
      <c r="AD288" s="159">
        <v>2000</v>
      </c>
      <c r="AE288" s="65" t="s">
        <v>91</v>
      </c>
      <c r="AF288" s="13" t="s">
        <v>201</v>
      </c>
      <c r="AG288" s="155"/>
      <c r="AH288" s="160" t="s">
        <v>200</v>
      </c>
      <c r="AI288" s="42">
        <v>2.5</v>
      </c>
    </row>
    <row r="289" spans="17:35" x14ac:dyDescent="0.2">
      <c r="X289" s="158" t="s">
        <v>394</v>
      </c>
      <c r="AD289" s="13">
        <v>8000</v>
      </c>
      <c r="AE289" s="13" t="s">
        <v>91</v>
      </c>
      <c r="AF289" s="13" t="s">
        <v>208</v>
      </c>
      <c r="AH289" s="153" t="s">
        <v>388</v>
      </c>
      <c r="AI289" s="13">
        <v>3.5</v>
      </c>
    </row>
    <row r="290" spans="17:35" x14ac:dyDescent="0.2">
      <c r="X290" s="158" t="s">
        <v>340</v>
      </c>
      <c r="AD290" s="13">
        <v>1000</v>
      </c>
      <c r="AE290" s="13" t="s">
        <v>91</v>
      </c>
      <c r="AF290" s="13" t="s">
        <v>343</v>
      </c>
      <c r="AH290" s="153" t="s">
        <v>344</v>
      </c>
      <c r="AI290" s="13">
        <v>2.25</v>
      </c>
    </row>
    <row r="291" spans="17:35" x14ac:dyDescent="0.2">
      <c r="X291" s="157" t="s">
        <v>383</v>
      </c>
      <c r="Y291" s="65"/>
      <c r="Z291" s="65"/>
      <c r="AA291" s="65"/>
      <c r="AB291" s="65"/>
      <c r="AC291" s="65"/>
      <c r="AD291" s="159">
        <v>1250</v>
      </c>
      <c r="AE291" s="65" t="s">
        <v>91</v>
      </c>
      <c r="AF291" s="13" t="s">
        <v>123</v>
      </c>
      <c r="AG291" s="155"/>
      <c r="AH291" s="160" t="s">
        <v>384</v>
      </c>
      <c r="AI291" s="42">
        <v>2</v>
      </c>
    </row>
    <row r="292" spans="17:35" x14ac:dyDescent="0.2">
      <c r="X292" s="157" t="s">
        <v>314</v>
      </c>
      <c r="Y292" s="65"/>
      <c r="Z292" s="65"/>
      <c r="AA292" s="65"/>
      <c r="AB292" s="65"/>
      <c r="AC292" s="65"/>
      <c r="AD292" s="159">
        <v>3000</v>
      </c>
      <c r="AE292" s="65" t="s">
        <v>91</v>
      </c>
      <c r="AF292" s="13" t="s">
        <v>332</v>
      </c>
      <c r="AG292" s="155"/>
      <c r="AH292" s="160" t="s">
        <v>315</v>
      </c>
      <c r="AI292" s="42">
        <v>2.5</v>
      </c>
    </row>
    <row r="293" spans="17:35" x14ac:dyDescent="0.2">
      <c r="X293" s="157" t="s">
        <v>304</v>
      </c>
      <c r="Y293" s="65"/>
      <c r="Z293" s="65"/>
      <c r="AA293" s="65"/>
      <c r="AB293" s="65"/>
      <c r="AC293" s="65"/>
      <c r="AD293" s="159">
        <v>500</v>
      </c>
      <c r="AE293" s="65" t="s">
        <v>91</v>
      </c>
      <c r="AF293" s="13" t="s">
        <v>124</v>
      </c>
      <c r="AG293" s="155"/>
      <c r="AH293" s="160" t="s">
        <v>160</v>
      </c>
      <c r="AI293" s="42">
        <v>2</v>
      </c>
    </row>
    <row r="294" spans="17:35" x14ac:dyDescent="0.2">
      <c r="X294" s="158" t="s">
        <v>305</v>
      </c>
      <c r="AD294" s="13">
        <v>4000</v>
      </c>
      <c r="AE294" s="13" t="s">
        <v>91</v>
      </c>
      <c r="AF294" s="13" t="s">
        <v>180</v>
      </c>
      <c r="AH294" s="153" t="s">
        <v>179</v>
      </c>
      <c r="AI294" s="13">
        <v>2.5</v>
      </c>
    </row>
    <row r="295" spans="17:35" x14ac:dyDescent="0.2">
      <c r="X295" s="158" t="s">
        <v>306</v>
      </c>
      <c r="AD295" s="13">
        <v>5</v>
      </c>
      <c r="AE295" s="13" t="s">
        <v>98</v>
      </c>
      <c r="AF295" s="13" t="s">
        <v>213</v>
      </c>
      <c r="AH295" s="153" t="s">
        <v>214</v>
      </c>
      <c r="AI295" s="13">
        <v>2.25</v>
      </c>
    </row>
    <row r="296" spans="17:35" x14ac:dyDescent="0.2">
      <c r="X296" s="157" t="s">
        <v>308</v>
      </c>
      <c r="Y296" s="65"/>
      <c r="Z296" s="65"/>
      <c r="AA296" s="65"/>
      <c r="AB296" s="65"/>
      <c r="AC296" s="65"/>
      <c r="AD296" s="159">
        <v>2000</v>
      </c>
      <c r="AE296" s="65" t="s">
        <v>91</v>
      </c>
      <c r="AF296" s="13" t="s">
        <v>168</v>
      </c>
      <c r="AG296" s="155"/>
      <c r="AH296" s="160" t="s">
        <v>169</v>
      </c>
      <c r="AI296" s="42">
        <v>2</v>
      </c>
    </row>
    <row r="297" spans="17:35" x14ac:dyDescent="0.2">
      <c r="X297" s="157" t="s">
        <v>307</v>
      </c>
      <c r="Y297" s="65"/>
      <c r="Z297" s="65"/>
      <c r="AA297" s="65"/>
      <c r="AB297" s="65"/>
      <c r="AC297" s="65"/>
      <c r="AD297" s="159">
        <v>1000</v>
      </c>
      <c r="AE297" s="65" t="s">
        <v>91</v>
      </c>
      <c r="AF297" s="13" t="s">
        <v>125</v>
      </c>
      <c r="AG297" s="155"/>
      <c r="AH297" s="160" t="s">
        <v>212</v>
      </c>
      <c r="AI297" s="42">
        <v>2.5</v>
      </c>
    </row>
    <row r="298" spans="17:35" x14ac:dyDescent="0.2">
      <c r="X298" s="157" t="s">
        <v>309</v>
      </c>
      <c r="Y298" s="65"/>
      <c r="Z298" s="65"/>
      <c r="AA298" s="65"/>
      <c r="AB298" s="65"/>
      <c r="AC298" s="65"/>
      <c r="AD298" s="159">
        <v>25</v>
      </c>
      <c r="AE298" s="65" t="s">
        <v>98</v>
      </c>
      <c r="AF298" s="13" t="s">
        <v>182</v>
      </c>
      <c r="AG298" s="155"/>
      <c r="AH298" s="160" t="s">
        <v>181</v>
      </c>
      <c r="AI298" s="42">
        <v>2</v>
      </c>
    </row>
    <row r="299" spans="17:35" x14ac:dyDescent="0.2">
      <c r="AH299" s="13"/>
    </row>
    <row r="303" spans="17:35" x14ac:dyDescent="0.2">
      <c r="Q303" s="13" t="s">
        <v>258</v>
      </c>
    </row>
  </sheetData>
  <mergeCells count="2">
    <mergeCell ref="B90:C90"/>
    <mergeCell ref="B92:C92"/>
  </mergeCells>
  <phoneticPr fontId="1" type="noConversion"/>
  <conditionalFormatting sqref="E41:M48">
    <cfRule type="cellIs" dxfId="3" priority="3" stopIfTrue="1" operator="greaterThan">
      <formula>0.8</formula>
    </cfRule>
    <cfRule type="cellIs" dxfId="2" priority="4" stopIfTrue="1" operator="lessThan">
      <formula>0.2</formula>
    </cfRule>
  </conditionalFormatting>
  <conditionalFormatting sqref="H72:H105 H107:H108">
    <cfRule type="expression" dxfId="1" priority="1" stopIfTrue="1">
      <formula>OR((I72&lt;20),(I72&gt;80))</formula>
    </cfRule>
  </conditionalFormatting>
  <conditionalFormatting sqref="O72 J72:L105 J107:L108">
    <cfRule type="expression" dxfId="0" priority="2" stopIfTrue="1">
      <formula>OR((#REF!&lt;$E$72),(#REF!&gt;$E$79))</formula>
    </cfRule>
  </conditionalFormatting>
  <printOptions horizontalCentered="1"/>
  <pageMargins left="0.25" right="0.25" top="0.6" bottom="0.62" header="0.3" footer="0.3"/>
  <pageSetup scale="50" orientation="portrait" r:id="rId1"/>
  <headerFooter alignWithMargins="0">
    <oddHeader>&amp;L&amp;D&amp;C&amp;F&amp;R&amp;T</oddHeader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28575</xdr:colOff>
                    <xdr:row>0</xdr:row>
                    <xdr:rowOff>9525</xdr:rowOff>
                  </from>
                  <to>
                    <xdr:col>7</xdr:col>
                    <xdr:colOff>47625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F559EB8A6439374B911FB9A592386AFB" ma:contentTypeVersion="1" ma:contentTypeDescription="Upload an image or a photograph." ma:contentTypeScope="" ma:versionID="9903e34282d4795e39b2c765d00052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74ff804497d12dee4f2eb454ba43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9B7482-3DAE-42A1-8445-3358A73D1F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B48E7D-0DC9-47A7-8A0E-07F0D221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7FCA8E-41A0-4DBE-87B3-181FB8C309F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The Workbooks</vt:lpstr>
      <vt:lpstr>TheSheets</vt:lpstr>
      <vt:lpstr>Instructions</vt:lpstr>
      <vt:lpstr>Disclaimer</vt:lpstr>
      <vt:lpstr>Analysis</vt:lpstr>
      <vt:lpstr>StdCurve</vt:lpstr>
      <vt:lpstr>TheSheets!OLE_LINK1</vt:lpstr>
    </vt:vector>
  </TitlesOfParts>
  <Company>Cayman Chemical Company,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eschwab</dc:creator>
  <cp:keywords/>
  <cp:lastModifiedBy>Peter Burby</cp:lastModifiedBy>
  <cp:lastPrinted>2009-08-07T13:10:35Z</cp:lastPrinted>
  <dcterms:created xsi:type="dcterms:W3CDTF">2002-01-25T19:21:53Z</dcterms:created>
  <dcterms:modified xsi:type="dcterms:W3CDTF">2026-02-02T20:06:34Z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ContentTypeId">
    <vt:lpwstr>0x01010200F559EB8A6439374B911FB9A592386AFB</vt:lpwstr>
  </property>
</Properties>
</file>